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1.xml" ContentType="application/vnd.openxmlformats-officedocument.themeOverride+xml"/>
  <Override PartName="/xl/pivotTables/pivotTable3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2.xml" ContentType="application/vnd.openxmlformats-officedocument.themeOverride+xml"/>
  <Override PartName="/xl/pivotTables/pivotTable4.xml" ContentType="application/vnd.openxmlformats-officedocument.spreadsheetml.pivotTab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3.xml" ContentType="application/vnd.openxmlformats-officedocument.themeOverride+xml"/>
  <Override PartName="/xl/pivotTables/pivotTable5.xml" ContentType="application/vnd.openxmlformats-officedocument.spreadsheetml.pivotTab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4.xml" ContentType="application/vnd.openxmlformats-officedocument.themeOverride+xml"/>
  <Override PartName="/xl/pivotTables/pivotTable6.xml" ContentType="application/vnd.openxmlformats-officedocument.spreadsheetml.pivotTab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5.xml" ContentType="application/vnd.openxmlformats-officedocument.themeOverride+xml"/>
  <Override PartName="/xl/pivotTables/pivotTable7.xml" ContentType="application/vnd.openxmlformats-officedocument.spreadsheetml.pivotTab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6.xml" ContentType="application/vnd.openxmlformats-officedocument.themeOverride+xml"/>
  <Override PartName="/xl/pivotTables/pivotTable8.xml" ContentType="application/vnd.openxmlformats-officedocument.spreadsheetml.pivotTable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7.xml" ContentType="application/vnd.openxmlformats-officedocument.themeOverride+xml"/>
  <Override PartName="/xl/pivotTables/pivotTable9.xml" ContentType="application/vnd.openxmlformats-officedocument.spreadsheetml.pivotTable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8.xml" ContentType="application/vnd.openxmlformats-officedocument.themeOverride+xml"/>
  <Override PartName="/xl/pivotTables/pivotTable10.xml" ContentType="application/vnd.openxmlformats-officedocument.spreadsheetml.pivotTable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9.xml" ContentType="application/vnd.openxmlformats-officedocument.themeOverride+xml"/>
  <Override PartName="/xl/pivotTables/pivotTable11.xml" ContentType="application/vnd.openxmlformats-officedocument.spreadsheetml.pivotTable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10.xml" ContentType="application/vnd.openxmlformats-officedocument.themeOverrid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11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2260" windowHeight="12648" tabRatio="805"/>
  </bookViews>
  <sheets>
    <sheet name="Inhalt" sheetId="14" r:id="rId1"/>
    <sheet name="1" sheetId="7" r:id="rId2"/>
    <sheet name="2" sheetId="9" r:id="rId3"/>
    <sheet name="3" sheetId="11" r:id="rId4"/>
    <sheet name="4" sheetId="20" r:id="rId5"/>
    <sheet name="5" sheetId="12" r:id="rId6"/>
    <sheet name="6" sheetId="22" r:id="rId7"/>
    <sheet name="7" sheetId="25" r:id="rId8"/>
    <sheet name="8" sheetId="24" r:id="rId9"/>
    <sheet name="9" sheetId="23" r:id="rId10"/>
    <sheet name="10" sheetId="27" r:id="rId11"/>
    <sheet name="11" sheetId="26" r:id="rId12"/>
    <sheet name="12" sheetId="28" r:id="rId13"/>
    <sheet name="13" sheetId="29" r:id="rId14"/>
    <sheet name="14" sheetId="30" r:id="rId15"/>
    <sheet name="15" sheetId="13" r:id="rId16"/>
  </sheets>
  <calcPr calcId="152511"/>
  <pivotCaches>
    <pivotCache cacheId="0" r:id="rId17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" i="9" l="1"/>
  <c r="J67" i="9"/>
  <c r="F67" i="9"/>
  <c r="J58" i="9"/>
  <c r="F58" i="9"/>
  <c r="E58" i="9"/>
  <c r="J49" i="9"/>
  <c r="F49" i="9"/>
  <c r="E49" i="9"/>
  <c r="J40" i="9"/>
  <c r="F40" i="9"/>
  <c r="E40" i="9"/>
  <c r="J31" i="9"/>
  <c r="F31" i="9"/>
  <c r="E31" i="9"/>
  <c r="J22" i="9"/>
  <c r="F22" i="9"/>
  <c r="J13" i="9"/>
  <c r="F13" i="9"/>
  <c r="E13" i="9"/>
  <c r="J4" i="9"/>
  <c r="F4" i="9"/>
  <c r="E4" i="9"/>
  <c r="J73" i="9"/>
  <c r="F73" i="9"/>
  <c r="E73" i="9"/>
  <c r="J71" i="9"/>
  <c r="F71" i="9"/>
  <c r="J69" i="9"/>
  <c r="F69" i="9"/>
  <c r="E69" i="9"/>
  <c r="J64" i="9"/>
  <c r="F64" i="9"/>
  <c r="E64" i="9"/>
  <c r="J62" i="9"/>
  <c r="F62" i="9"/>
  <c r="J60" i="9"/>
  <c r="F60" i="9"/>
  <c r="E60" i="9"/>
  <c r="J55" i="9"/>
  <c r="F55" i="9"/>
  <c r="E55" i="9"/>
  <c r="J53" i="9"/>
  <c r="F53" i="9"/>
  <c r="J51" i="9"/>
  <c r="F51" i="9"/>
  <c r="E51" i="9"/>
  <c r="J46" i="9"/>
  <c r="F46" i="9"/>
  <c r="E46" i="9"/>
  <c r="J44" i="9"/>
  <c r="F44" i="9"/>
  <c r="J42" i="9"/>
  <c r="F42" i="9"/>
  <c r="E42" i="9"/>
  <c r="J37" i="9"/>
  <c r="F37" i="9"/>
  <c r="J35" i="9"/>
  <c r="F35" i="9"/>
  <c r="J33" i="9"/>
  <c r="F33" i="9"/>
  <c r="E33" i="9"/>
  <c r="J28" i="9"/>
  <c r="F28" i="9"/>
  <c r="E28" i="9"/>
  <c r="J26" i="9"/>
  <c r="F26" i="9"/>
  <c r="J24" i="9"/>
  <c r="F24" i="9"/>
  <c r="E24" i="9"/>
  <c r="J19" i="9"/>
  <c r="F19" i="9"/>
  <c r="J17" i="9"/>
  <c r="F17" i="9"/>
  <c r="J15" i="9"/>
  <c r="F15" i="9"/>
  <c r="E15" i="9"/>
  <c r="J10" i="9"/>
  <c r="F10" i="9"/>
  <c r="J8" i="9"/>
  <c r="F8" i="9"/>
  <c r="J6" i="9"/>
  <c r="F6" i="9"/>
  <c r="E6" i="9"/>
  <c r="J295" i="7" l="1"/>
  <c r="I38" i="7" l="1"/>
  <c r="I73" i="9" l="1"/>
  <c r="I69" i="9"/>
  <c r="I11" i="7" l="1"/>
  <c r="I130" i="7"/>
  <c r="I141" i="7"/>
  <c r="I118" i="7"/>
  <c r="I117" i="7"/>
  <c r="I259" i="7"/>
  <c r="I272" i="7" l="1"/>
  <c r="I273" i="7"/>
  <c r="I271" i="7" l="1"/>
  <c r="I268" i="7" l="1"/>
  <c r="I269" i="7"/>
  <c r="I270" i="7"/>
  <c r="J265" i="7" l="1"/>
  <c r="J266" i="7"/>
  <c r="J264" i="7"/>
  <c r="J252" i="7"/>
  <c r="J110" i="7" l="1"/>
  <c r="J8" i="7"/>
  <c r="J103" i="7"/>
  <c r="J111" i="7"/>
  <c r="J127" i="7"/>
  <c r="J121" i="7"/>
  <c r="I64" i="9" l="1"/>
  <c r="I60" i="9"/>
  <c r="I256" i="7"/>
  <c r="I253" i="7"/>
  <c r="I251" i="7"/>
  <c r="G249" i="7"/>
  <c r="I247" i="7"/>
  <c r="J240" i="7"/>
  <c r="I240" i="7"/>
  <c r="J239" i="7"/>
  <c r="I239" i="7"/>
  <c r="J238" i="7"/>
  <c r="I238" i="7"/>
  <c r="J237" i="7"/>
  <c r="I237" i="7"/>
  <c r="J236" i="7"/>
  <c r="I236" i="7"/>
  <c r="J235" i="7"/>
  <c r="I235" i="7"/>
  <c r="J234" i="7"/>
  <c r="I234" i="7"/>
  <c r="J233" i="7"/>
  <c r="I233" i="7"/>
  <c r="J232" i="7"/>
  <c r="I232" i="7"/>
  <c r="J231" i="7"/>
  <c r="I231" i="7"/>
  <c r="J230" i="7"/>
  <c r="I230" i="7"/>
  <c r="J279" i="7"/>
  <c r="G279" i="7"/>
  <c r="J278" i="7"/>
  <c r="G278" i="7"/>
  <c r="J277" i="7"/>
  <c r="G277" i="7"/>
  <c r="J276" i="7"/>
  <c r="G276" i="7"/>
  <c r="J275" i="7"/>
  <c r="G275" i="7"/>
  <c r="J274" i="7"/>
  <c r="G274" i="7"/>
  <c r="J267" i="7"/>
  <c r="G267" i="7"/>
  <c r="J262" i="7"/>
  <c r="G262" i="7"/>
  <c r="J122" i="7"/>
  <c r="J116" i="7"/>
  <c r="J120" i="7"/>
  <c r="J106" i="7"/>
  <c r="J12" i="7"/>
  <c r="J128" i="7"/>
  <c r="J225" i="7"/>
  <c r="J214" i="7"/>
  <c r="J189" i="7"/>
  <c r="J212" i="7"/>
  <c r="J211" i="7"/>
  <c r="J210" i="7"/>
  <c r="J209" i="7"/>
  <c r="J37" i="7"/>
  <c r="J207" i="7"/>
  <c r="J119" i="7"/>
  <c r="J123" i="7"/>
  <c r="J204" i="7"/>
  <c r="J222" i="7"/>
  <c r="J202" i="7"/>
  <c r="J201" i="7"/>
  <c r="J200" i="7"/>
  <c r="J199" i="7"/>
  <c r="J198" i="7"/>
  <c r="J213" i="7"/>
  <c r="J196" i="7"/>
  <c r="I195" i="7"/>
  <c r="I194" i="7"/>
  <c r="I112" i="7"/>
  <c r="I129" i="7"/>
  <c r="I258" i="7"/>
  <c r="J190" i="7"/>
  <c r="I190" i="7"/>
  <c r="J208" i="7"/>
  <c r="I208" i="7"/>
  <c r="J188" i="7"/>
  <c r="I188" i="7"/>
  <c r="J187" i="7"/>
  <c r="I187" i="7"/>
  <c r="J186" i="7"/>
  <c r="I186" i="7"/>
  <c r="J185" i="7"/>
  <c r="I185" i="7"/>
  <c r="J184" i="7"/>
  <c r="J183" i="7"/>
  <c r="J182" i="7"/>
  <c r="I182" i="7"/>
  <c r="J181" i="7"/>
  <c r="J180" i="7"/>
  <c r="J179" i="7"/>
  <c r="I179" i="7"/>
  <c r="J178" i="7"/>
  <c r="I178" i="7"/>
  <c r="J177" i="7"/>
  <c r="I177" i="7"/>
  <c r="J176" i="7"/>
  <c r="I176" i="7"/>
  <c r="J175" i="7"/>
  <c r="I175" i="7"/>
  <c r="J174" i="7"/>
  <c r="I174" i="7"/>
  <c r="J173" i="7"/>
  <c r="I173" i="7"/>
  <c r="J172" i="7"/>
  <c r="I172" i="7"/>
  <c r="J171" i="7"/>
  <c r="I171" i="7"/>
  <c r="J165" i="7"/>
  <c r="I165" i="7"/>
  <c r="J164" i="7"/>
  <c r="I164" i="7"/>
  <c r="J163" i="7"/>
  <c r="I163" i="7"/>
  <c r="J162" i="7"/>
  <c r="I162" i="7"/>
  <c r="J161" i="7"/>
  <c r="I161" i="7"/>
  <c r="J160" i="7"/>
  <c r="I160" i="7"/>
  <c r="J159" i="7"/>
  <c r="I159" i="7"/>
  <c r="J158" i="7"/>
  <c r="I158" i="7"/>
  <c r="J157" i="7"/>
  <c r="I157" i="7"/>
  <c r="J156" i="7"/>
  <c r="J155" i="7"/>
  <c r="J154" i="7"/>
  <c r="I154" i="7"/>
  <c r="J153" i="7"/>
  <c r="I153" i="7"/>
  <c r="J152" i="7"/>
  <c r="I152" i="7"/>
  <c r="J151" i="7"/>
  <c r="I151" i="7"/>
  <c r="J150" i="7"/>
  <c r="J149" i="7"/>
  <c r="J148" i="7"/>
  <c r="J147" i="7"/>
  <c r="I147" i="7"/>
  <c r="J146" i="7"/>
  <c r="J145" i="7"/>
  <c r="J144" i="7"/>
  <c r="G144" i="7"/>
  <c r="J143" i="7"/>
  <c r="I143" i="7"/>
  <c r="I142" i="7"/>
  <c r="J260" i="7"/>
  <c r="I260" i="7"/>
  <c r="J9" i="7"/>
  <c r="I9" i="7"/>
  <c r="J170" i="7"/>
  <c r="J138" i="7"/>
  <c r="J137" i="7"/>
  <c r="I137" i="7"/>
  <c r="J136" i="7"/>
  <c r="I136" i="7"/>
  <c r="J135" i="7"/>
  <c r="J134" i="7"/>
  <c r="J10" i="7"/>
  <c r="J261" i="7"/>
  <c r="J229" i="7"/>
  <c r="J109" i="7"/>
  <c r="J113" i="7"/>
  <c r="J228" i="7"/>
  <c r="J226" i="7"/>
  <c r="J227" i="7"/>
  <c r="J133" i="7"/>
  <c r="J19" i="7"/>
  <c r="J102" i="7"/>
  <c r="J13" i="7"/>
  <c r="J105" i="7"/>
  <c r="J104" i="7"/>
  <c r="J257" i="7"/>
  <c r="J140" i="7"/>
  <c r="J216" i="7"/>
  <c r="J203" i="7"/>
  <c r="J218" i="7"/>
  <c r="J224" i="7"/>
  <c r="J192" i="7"/>
  <c r="J132" i="7"/>
  <c r="J215" i="7"/>
  <c r="J220" i="7"/>
  <c r="J206" i="7"/>
  <c r="J193" i="7"/>
  <c r="J217" i="7"/>
  <c r="J223" i="7"/>
  <c r="J191" i="7"/>
  <c r="J131" i="7"/>
  <c r="J205" i="7"/>
  <c r="J219" i="7"/>
  <c r="J101" i="7"/>
  <c r="J100" i="7"/>
  <c r="J99" i="7"/>
  <c r="J98" i="7"/>
  <c r="J97" i="7"/>
  <c r="J96" i="7"/>
  <c r="J95" i="7"/>
  <c r="J94" i="7"/>
  <c r="J93" i="7"/>
  <c r="J92" i="7"/>
  <c r="J91" i="7"/>
  <c r="J90" i="7"/>
  <c r="J89" i="7"/>
  <c r="J88" i="7"/>
  <c r="J87" i="7"/>
  <c r="J86" i="7"/>
  <c r="J85" i="7"/>
  <c r="J84" i="7"/>
  <c r="J83" i="7"/>
  <c r="J82" i="7"/>
  <c r="J81" i="7"/>
  <c r="J80" i="7"/>
  <c r="J79" i="7"/>
  <c r="J78" i="7"/>
  <c r="J77" i="7"/>
  <c r="J76" i="7"/>
  <c r="J75" i="7"/>
  <c r="J74" i="7"/>
  <c r="J73" i="7"/>
  <c r="J72" i="7"/>
  <c r="J71" i="7"/>
  <c r="J70" i="7"/>
  <c r="J69" i="7"/>
  <c r="J68" i="7"/>
  <c r="J67" i="7"/>
  <c r="J66" i="7"/>
  <c r="J65" i="7"/>
  <c r="J64" i="7"/>
  <c r="J63" i="7"/>
  <c r="J62" i="7"/>
  <c r="J61" i="7"/>
  <c r="J60" i="7"/>
  <c r="J59" i="7"/>
  <c r="J58" i="7"/>
  <c r="J57" i="7"/>
  <c r="J56" i="7"/>
  <c r="J55" i="7"/>
  <c r="J54" i="7"/>
  <c r="J53" i="7"/>
  <c r="J52" i="7"/>
  <c r="J51" i="7"/>
  <c r="J50" i="7"/>
  <c r="J49" i="7"/>
  <c r="J48" i="7"/>
  <c r="J47" i="7"/>
  <c r="J46" i="7"/>
  <c r="J45" i="7"/>
  <c r="J44" i="7"/>
  <c r="J43" i="7"/>
  <c r="J42" i="7"/>
  <c r="J41" i="7"/>
  <c r="J242" i="7"/>
  <c r="J39" i="7"/>
  <c r="J38" i="7"/>
  <c r="J40" i="7"/>
  <c r="J36" i="7"/>
  <c r="I35" i="7"/>
  <c r="J34" i="7"/>
  <c r="I34" i="7"/>
  <c r="J33" i="7"/>
  <c r="I33" i="7"/>
  <c r="J32" i="7"/>
  <c r="I32" i="7"/>
  <c r="J31" i="7"/>
  <c r="J30" i="7"/>
  <c r="J29" i="7"/>
  <c r="I29" i="7"/>
  <c r="J28" i="7"/>
  <c r="I28" i="7"/>
  <c r="J27" i="7"/>
  <c r="I27" i="7"/>
  <c r="J26" i="7"/>
  <c r="I26" i="7"/>
  <c r="J25" i="7"/>
  <c r="I25" i="7"/>
  <c r="J24" i="7"/>
  <c r="I24" i="7"/>
  <c r="J23" i="7"/>
  <c r="I23" i="7"/>
  <c r="J22" i="7"/>
  <c r="I22" i="7"/>
  <c r="J21" i="7"/>
  <c r="J20" i="7"/>
  <c r="J221" i="7"/>
  <c r="J18" i="7"/>
  <c r="I18" i="7"/>
  <c r="J17" i="7"/>
  <c r="I17" i="7"/>
  <c r="J16" i="7"/>
  <c r="I16" i="7"/>
  <c r="J15" i="7"/>
  <c r="I15" i="7"/>
  <c r="J14" i="7"/>
  <c r="I14" i="7"/>
  <c r="J115" i="7"/>
  <c r="J108" i="7"/>
  <c r="J126" i="7"/>
  <c r="J114" i="7"/>
  <c r="J107" i="7"/>
  <c r="J125" i="7"/>
  <c r="J7" i="7"/>
  <c r="I7" i="7"/>
  <c r="J6" i="7"/>
  <c r="I6" i="7"/>
  <c r="J5" i="7"/>
  <c r="I5" i="7"/>
  <c r="J4" i="7"/>
  <c r="I4" i="7"/>
  <c r="J3" i="7"/>
  <c r="I3" i="7"/>
  <c r="C24" i="14"/>
  <c r="C25" i="14" s="1"/>
  <c r="C14" i="14"/>
  <c r="C15" i="14" s="1"/>
  <c r="C16" i="14" s="1"/>
  <c r="C17" i="14" s="1"/>
  <c r="C18" i="14" s="1"/>
  <c r="C19" i="14" s="1"/>
  <c r="I46" i="9" l="1"/>
  <c r="I68" i="7"/>
  <c r="I49" i="9"/>
  <c r="I42" i="9"/>
  <c r="I51" i="9"/>
  <c r="I24" i="9"/>
  <c r="I28" i="9"/>
  <c r="I181" i="7"/>
  <c r="I6" i="9"/>
  <c r="I58" i="9"/>
  <c r="I40" i="9"/>
  <c r="I55" i="9"/>
  <c r="I31" i="9"/>
  <c r="I212" i="7"/>
  <c r="I33" i="9"/>
  <c r="I13" i="9"/>
  <c r="I15" i="9"/>
  <c r="I40" i="7"/>
  <c r="I124" i="7"/>
  <c r="I199" i="7"/>
  <c r="I22" i="9"/>
  <c r="I65" i="7"/>
  <c r="I69" i="7"/>
  <c r="I54" i="7"/>
  <c r="I58" i="7"/>
  <c r="I59" i="7"/>
  <c r="I63" i="7"/>
  <c r="I67" i="7"/>
  <c r="I52" i="7"/>
  <c r="E22" i="9" l="1"/>
  <c r="E67" i="9"/>
  <c r="G295" i="7" s="1"/>
  <c r="I295" i="7" s="1"/>
  <c r="I67" i="9" s="1"/>
  <c r="I55" i="7"/>
  <c r="I61" i="7"/>
  <c r="I64" i="7"/>
  <c r="I51" i="7"/>
  <c r="I57" i="7"/>
  <c r="I60" i="7"/>
  <c r="I66" i="7"/>
  <c r="I53" i="7"/>
  <c r="I56" i="7"/>
  <c r="I62" i="7"/>
  <c r="I198" i="7"/>
  <c r="I249" i="7"/>
  <c r="I202" i="7"/>
  <c r="E37" i="9" s="1"/>
  <c r="J27" i="11"/>
  <c r="J28" i="11"/>
  <c r="J29" i="11"/>
  <c r="J30" i="11"/>
  <c r="J26" i="11"/>
  <c r="I252" i="7"/>
  <c r="G20" i="11"/>
  <c r="G21" i="11"/>
  <c r="I213" i="7"/>
  <c r="H20" i="11"/>
  <c r="H21" i="11"/>
  <c r="I12" i="7"/>
  <c r="I106" i="7"/>
  <c r="I225" i="7"/>
  <c r="I128" i="7"/>
  <c r="I197" i="7"/>
  <c r="I189" i="7"/>
  <c r="E17" i="9" s="1"/>
  <c r="G9" i="11"/>
  <c r="I257" i="7"/>
  <c r="I261" i="7"/>
  <c r="I228" i="7"/>
  <c r="I229" i="7"/>
  <c r="I226" i="7"/>
  <c r="I227" i="7"/>
  <c r="I223" i="7"/>
  <c r="I224" i="7"/>
  <c r="I219" i="7"/>
  <c r="I220" i="7"/>
  <c r="I217" i="7"/>
  <c r="I218" i="7"/>
  <c r="I215" i="7"/>
  <c r="I216" i="7"/>
  <c r="I205" i="7"/>
  <c r="I206" i="7"/>
  <c r="I193" i="7"/>
  <c r="I203" i="7"/>
  <c r="I191" i="7"/>
  <c r="I192" i="7"/>
  <c r="I133" i="7"/>
  <c r="I140" i="7"/>
  <c r="I131" i="7"/>
  <c r="I132" i="7"/>
  <c r="I109" i="7"/>
  <c r="I113" i="7"/>
  <c r="I104" i="7"/>
  <c r="I105" i="7"/>
  <c r="I19" i="7"/>
  <c r="I102" i="7"/>
  <c r="G7" i="11"/>
  <c r="I200" i="7"/>
  <c r="E10" i="9" s="1"/>
  <c r="G12" i="11"/>
  <c r="I10" i="7"/>
  <c r="I13" i="7"/>
  <c r="G4" i="11"/>
  <c r="I73" i="7"/>
  <c r="I110" i="7"/>
  <c r="I127" i="7"/>
  <c r="I8" i="7"/>
  <c r="E62" i="9" s="1"/>
  <c r="I103" i="7"/>
  <c r="I111" i="7"/>
  <c r="I116" i="7"/>
  <c r="I121" i="7"/>
  <c r="G6" i="11"/>
  <c r="G8" i="11"/>
  <c r="G5" i="11"/>
  <c r="I250" i="7"/>
  <c r="I77" i="7"/>
  <c r="I207" i="7"/>
  <c r="H14" i="11"/>
  <c r="H16" i="11"/>
  <c r="I80" i="7"/>
  <c r="I241" i="7"/>
  <c r="G18" i="11"/>
  <c r="I83" i="7"/>
  <c r="I76" i="7"/>
  <c r="I79" i="7"/>
  <c r="I75" i="7"/>
  <c r="I37" i="7"/>
  <c r="H17" i="11"/>
  <c r="H19" i="11"/>
  <c r="I82" i="7"/>
  <c r="H15" i="11"/>
  <c r="I170" i="7"/>
  <c r="I74" i="7"/>
  <c r="I71" i="7"/>
  <c r="I243" i="7"/>
  <c r="I70" i="7"/>
  <c r="G19" i="11"/>
  <c r="H6" i="11"/>
  <c r="I201" i="7"/>
  <c r="E19" i="9" s="1"/>
  <c r="I72" i="7"/>
  <c r="I245" i="7"/>
  <c r="H18" i="11"/>
  <c r="G14" i="11"/>
  <c r="I244" i="7"/>
  <c r="G15" i="11"/>
  <c r="G16" i="11"/>
  <c r="I263" i="7"/>
  <c r="I242" i="7"/>
  <c r="I139" i="7"/>
  <c r="G13" i="11"/>
  <c r="I204" i="7"/>
  <c r="I221" i="7"/>
  <c r="I122" i="7"/>
  <c r="I123" i="7"/>
  <c r="I222" i="7"/>
  <c r="I126" i="7"/>
  <c r="G11" i="11"/>
  <c r="I20" i="7"/>
  <c r="I114" i="7"/>
  <c r="I120" i="7"/>
  <c r="I107" i="7"/>
  <c r="I115" i="7"/>
  <c r="I138" i="7"/>
  <c r="I144" i="7"/>
  <c r="I41" i="7"/>
  <c r="G3" i="11"/>
  <c r="G10" i="11"/>
  <c r="I108" i="7"/>
  <c r="I119" i="7"/>
  <c r="I125" i="7"/>
  <c r="I135" i="7"/>
  <c r="G17" i="11"/>
  <c r="H7" i="11"/>
  <c r="I84" i="7"/>
  <c r="I246" i="7"/>
  <c r="I248" i="7"/>
  <c r="H13" i="11"/>
  <c r="H9" i="11"/>
  <c r="H11" i="11"/>
  <c r="H5" i="11"/>
  <c r="H12" i="11"/>
  <c r="I196" i="7"/>
  <c r="H3" i="11"/>
  <c r="H8" i="11"/>
  <c r="I50" i="7"/>
  <c r="H10" i="11"/>
  <c r="I78" i="7"/>
  <c r="H4" i="11"/>
  <c r="I81" i="7"/>
  <c r="I44" i="9"/>
  <c r="E53" i="9" l="1"/>
  <c r="E44" i="9"/>
  <c r="E8" i="9"/>
  <c r="J12" i="11"/>
  <c r="J15" i="11"/>
  <c r="I265" i="7"/>
  <c r="G29" i="11"/>
  <c r="G30" i="11"/>
  <c r="G26" i="11"/>
  <c r="G27" i="11"/>
  <c r="G28" i="11"/>
  <c r="I280" i="7"/>
  <c r="I281" i="7"/>
  <c r="I287" i="7"/>
  <c r="I293" i="7"/>
  <c r="I283" i="7"/>
  <c r="I289" i="7"/>
  <c r="I282" i="7"/>
  <c r="I288" i="7"/>
  <c r="I294" i="7"/>
  <c r="I286" i="7"/>
  <c r="I292" i="7"/>
  <c r="I284" i="7"/>
  <c r="I290" i="7"/>
  <c r="I285" i="7"/>
  <c r="I291" i="7"/>
  <c r="I43" i="7"/>
  <c r="I47" i="7"/>
  <c r="I21" i="7"/>
  <c r="I255" i="7"/>
  <c r="I167" i="7"/>
  <c r="I31" i="7"/>
  <c r="E35" i="9" s="1"/>
  <c r="I168" i="7"/>
  <c r="I264" i="7"/>
  <c r="I169" i="7"/>
  <c r="I44" i="7"/>
  <c r="I266" i="7"/>
  <c r="I254" i="7"/>
  <c r="E71" i="9" s="1"/>
  <c r="I45" i="7"/>
  <c r="I46" i="7"/>
  <c r="I214" i="7"/>
  <c r="I134" i="7"/>
  <c r="I48" i="7"/>
  <c r="I42" i="7"/>
  <c r="I30" i="7"/>
  <c r="I166" i="7"/>
  <c r="I49" i="7"/>
  <c r="I19" i="9"/>
  <c r="I10" i="9"/>
  <c r="I17" i="9"/>
  <c r="I62" i="9"/>
  <c r="I8" i="9"/>
  <c r="I53" i="9"/>
  <c r="I37" i="9"/>
  <c r="E26" i="9" l="1"/>
  <c r="J10" i="11"/>
  <c r="J9" i="11"/>
  <c r="J7" i="11"/>
  <c r="J6" i="11"/>
  <c r="J16" i="11"/>
  <c r="J3" i="11"/>
  <c r="J18" i="11"/>
  <c r="J20" i="11"/>
  <c r="J11" i="11"/>
  <c r="J8" i="11"/>
  <c r="J17" i="11"/>
  <c r="J19" i="11"/>
  <c r="J5" i="11"/>
  <c r="J13" i="11"/>
  <c r="J14" i="11"/>
  <c r="J4" i="11"/>
  <c r="J21" i="11"/>
  <c r="I35" i="9"/>
  <c r="I26" i="9"/>
  <c r="I71" i="9"/>
  <c r="I21" i="11"/>
  <c r="I20" i="11"/>
  <c r="I18" i="11"/>
  <c r="I14" i="11"/>
  <c r="I15" i="11"/>
  <c r="I17" i="11"/>
  <c r="I12" i="11"/>
  <c r="I7" i="11"/>
  <c r="I4" i="11"/>
  <c r="I10" i="11"/>
  <c r="I3" i="11"/>
  <c r="I6" i="11"/>
  <c r="I11" i="11"/>
  <c r="I9" i="11"/>
  <c r="I8" i="11"/>
  <c r="I16" i="11"/>
  <c r="I5" i="11"/>
  <c r="I19" i="11"/>
  <c r="I13" i="11"/>
  <c r="I28" i="11" l="1"/>
  <c r="I29" i="11"/>
  <c r="I30" i="11"/>
  <c r="I26" i="11"/>
  <c r="I27" i="11"/>
</calcChain>
</file>

<file path=xl/comments1.xml><?xml version="1.0" encoding="utf-8"?>
<comments xmlns="http://schemas.openxmlformats.org/spreadsheetml/2006/main">
  <authors>
    <author>Author</author>
  </authors>
  <commentList>
    <comment ref="B124" authorId="0" shapeId="0">
      <text>
        <r>
          <rPr>
            <b/>
            <sz val="9"/>
            <color indexed="81"/>
            <rFont val="Segoe UI"/>
            <family val="2"/>
          </rPr>
          <t>Author:</t>
        </r>
        <r>
          <rPr>
            <sz val="9"/>
            <color indexed="81"/>
            <rFont val="Segoe UI"/>
            <family val="2"/>
          </rPr>
          <t xml:space="preserve">
http://www.probas.umweltbundesamt.de/php/prozessdetails.php?id={0E0B2730-9043-11D3-B2C8-0080C8941B49}</t>
        </r>
      </text>
    </comment>
    <comment ref="B280" authorId="0" shapeId="0">
      <text>
        <r>
          <rPr>
            <b/>
            <sz val="9"/>
            <color indexed="81"/>
            <rFont val="Segoe UI"/>
            <family val="2"/>
          </rPr>
          <t>Author:</t>
        </r>
        <r>
          <rPr>
            <sz val="9"/>
            <color indexed="81"/>
            <rFont val="Segoe UI"/>
            <family val="2"/>
          </rPr>
          <t xml:space="preserve">
http://www.probas.umweltbundesamt.de/php/prozessdetails.php?id={AB8272FD-0BAA-4B33-BB01-319DC1474603}</t>
        </r>
      </text>
    </comment>
    <comment ref="B281" authorId="0" shapeId="0">
      <text>
        <r>
          <rPr>
            <b/>
            <sz val="9"/>
            <color indexed="81"/>
            <rFont val="Segoe UI"/>
            <family val="2"/>
          </rPr>
          <t>Author:</t>
        </r>
        <r>
          <rPr>
            <sz val="9"/>
            <color indexed="81"/>
            <rFont val="Segoe UI"/>
            <family val="2"/>
          </rPr>
          <t xml:space="preserve">
http://www.probas.umweltbundesamt.de/php/prozessdetails.php?id={C590DD2D-375C-40DA-9A7D-9D6484B835DE}</t>
        </r>
      </text>
    </comment>
    <comment ref="B282" authorId="0" shapeId="0">
      <text>
        <r>
          <rPr>
            <b/>
            <sz val="9"/>
            <color indexed="81"/>
            <rFont val="Segoe UI"/>
            <family val="2"/>
          </rPr>
          <t>Author:</t>
        </r>
        <r>
          <rPr>
            <sz val="9"/>
            <color indexed="81"/>
            <rFont val="Segoe UI"/>
            <family val="2"/>
          </rPr>
          <t xml:space="preserve">
http://www.probas.umweltbundesamt.de/php/prozessdetails.php?id={6D041327-228F-4995-8F1F-A8D66D5A98DB}</t>
        </r>
      </text>
    </comment>
    <comment ref="B283" authorId="0" shapeId="0">
      <text>
        <r>
          <rPr>
            <b/>
            <sz val="9"/>
            <color indexed="81"/>
            <rFont val="Segoe UI"/>
            <family val="2"/>
          </rPr>
          <t>Author:</t>
        </r>
        <r>
          <rPr>
            <sz val="9"/>
            <color indexed="81"/>
            <rFont val="Segoe UI"/>
            <family val="2"/>
          </rPr>
          <t xml:space="preserve">
http://www.probas.umweltbundesamt.de/php/prozessdetails.php?id={F6311936-E9FF-4F26-91ED-FFDA7FC15437}</t>
        </r>
      </text>
    </comment>
    <comment ref="B284" authorId="0" shapeId="0">
      <text>
        <r>
          <rPr>
            <b/>
            <sz val="9"/>
            <color indexed="81"/>
            <rFont val="Segoe UI"/>
            <family val="2"/>
          </rPr>
          <t>Author:</t>
        </r>
        <r>
          <rPr>
            <sz val="9"/>
            <color indexed="81"/>
            <rFont val="Segoe UI"/>
            <family val="2"/>
          </rPr>
          <t xml:space="preserve">
http://www.probas.umweltbundesamt.de/php/prozessdetails.php?id={88E29956-5C12-4351-A538-9EB16E2FFC30}</t>
        </r>
      </text>
    </comment>
    <comment ref="B285" authorId="0" shapeId="0">
      <text>
        <r>
          <rPr>
            <b/>
            <sz val="9"/>
            <color indexed="81"/>
            <rFont val="Segoe UI"/>
            <family val="2"/>
          </rPr>
          <t>Author:</t>
        </r>
        <r>
          <rPr>
            <sz val="9"/>
            <color indexed="81"/>
            <rFont val="Segoe UI"/>
            <family val="2"/>
          </rPr>
          <t xml:space="preserve">
http://www.probas.umweltbundesamt.de/php/prozessdetails.php?id={5B19E8DD-E8A2-476D-B2A4-F855C6AA6811}</t>
        </r>
      </text>
    </comment>
    <comment ref="B286" authorId="0" shapeId="0">
      <text>
        <r>
          <rPr>
            <b/>
            <sz val="9"/>
            <color indexed="81"/>
            <rFont val="Segoe UI"/>
            <family val="2"/>
          </rPr>
          <t>Author:</t>
        </r>
        <r>
          <rPr>
            <sz val="9"/>
            <color indexed="81"/>
            <rFont val="Segoe UI"/>
            <family val="2"/>
          </rPr>
          <t xml:space="preserve">
http://www.probas.umweltbundesamt.de/php/prozessdetails.php?id={D53BD00D-5009-4E6E-A1D8-9369CBA9E3AD}</t>
        </r>
      </text>
    </comment>
    <comment ref="B287" authorId="0" shapeId="0">
      <text>
        <r>
          <rPr>
            <b/>
            <sz val="9"/>
            <color indexed="81"/>
            <rFont val="Segoe UI"/>
            <family val="2"/>
          </rPr>
          <t>Author:</t>
        </r>
        <r>
          <rPr>
            <sz val="9"/>
            <color indexed="81"/>
            <rFont val="Segoe UI"/>
            <family val="2"/>
          </rPr>
          <t xml:space="preserve">
http://www.probas.umweltbundesamt.de/php/prozessdetails.php?id={87DE6FF0-9D42-4DB4-8F59-CCF8CF4CDDDA}</t>
        </r>
      </text>
    </comment>
    <comment ref="B288" authorId="0" shapeId="0">
      <text>
        <r>
          <rPr>
            <b/>
            <sz val="9"/>
            <color indexed="81"/>
            <rFont val="Segoe UI"/>
            <family val="2"/>
          </rPr>
          <t>Author:</t>
        </r>
        <r>
          <rPr>
            <sz val="9"/>
            <color indexed="81"/>
            <rFont val="Segoe UI"/>
            <family val="2"/>
          </rPr>
          <t xml:space="preserve">
http://www.probas.umweltbundesamt.de/php/prozessdetails.php?id={04433689-9158-447E-A00B-9DCF01E71A82}</t>
        </r>
      </text>
    </comment>
    <comment ref="B289" authorId="0" shapeId="0">
      <text>
        <r>
          <rPr>
            <b/>
            <sz val="9"/>
            <color indexed="81"/>
            <rFont val="Segoe UI"/>
            <family val="2"/>
          </rPr>
          <t>Author:</t>
        </r>
        <r>
          <rPr>
            <sz val="9"/>
            <color indexed="81"/>
            <rFont val="Segoe UI"/>
            <family val="2"/>
          </rPr>
          <t xml:space="preserve">
http://www.probas.umweltbundesamt.de/php/prozessdetails.php?id={8F5060DD-4AB2-478C-847E-B331D0C284EC}</t>
        </r>
      </text>
    </comment>
    <comment ref="B290" authorId="0" shapeId="0">
      <text>
        <r>
          <rPr>
            <b/>
            <sz val="9"/>
            <color indexed="81"/>
            <rFont val="Segoe UI"/>
            <family val="2"/>
          </rPr>
          <t>Author:</t>
        </r>
        <r>
          <rPr>
            <sz val="9"/>
            <color indexed="81"/>
            <rFont val="Segoe UI"/>
            <family val="2"/>
          </rPr>
          <t xml:space="preserve">
http://www.probas.umweltbundesamt.de/php/prozessdetails.php?id={02CD39B3-CF26-4151-9918-6D2027CA5941}</t>
        </r>
      </text>
    </comment>
    <comment ref="B291" authorId="0" shapeId="0">
      <text>
        <r>
          <rPr>
            <b/>
            <sz val="9"/>
            <color indexed="81"/>
            <rFont val="Segoe UI"/>
            <family val="2"/>
          </rPr>
          <t>Author:</t>
        </r>
        <r>
          <rPr>
            <sz val="9"/>
            <color indexed="81"/>
            <rFont val="Segoe UI"/>
            <family val="2"/>
          </rPr>
          <t xml:space="preserve">
http://www.probas.umweltbundesamt.de/php/prozessdetails.php?id={EC447171-91C7-477B-BB04-999BC0218509}</t>
        </r>
      </text>
    </comment>
    <comment ref="B292" authorId="0" shapeId="0">
      <text>
        <r>
          <rPr>
            <b/>
            <sz val="9"/>
            <color indexed="81"/>
            <rFont val="Segoe UI"/>
            <family val="2"/>
          </rPr>
          <t>Author:</t>
        </r>
        <r>
          <rPr>
            <sz val="9"/>
            <color indexed="81"/>
            <rFont val="Segoe UI"/>
            <family val="2"/>
          </rPr>
          <t xml:space="preserve">
http://www.probas.umweltbundesamt.de/php/prozessdetails.php?id={16F29CDD-DE3A-4B05-B473-3C68D3B107DE}</t>
        </r>
      </text>
    </comment>
    <comment ref="B293" authorId="0" shapeId="0">
      <text>
        <r>
          <rPr>
            <b/>
            <sz val="9"/>
            <color indexed="81"/>
            <rFont val="Segoe UI"/>
            <family val="2"/>
          </rPr>
          <t>Author:</t>
        </r>
        <r>
          <rPr>
            <sz val="9"/>
            <color indexed="81"/>
            <rFont val="Segoe UI"/>
            <family val="2"/>
          </rPr>
          <t xml:space="preserve">
http://www.probas.umweltbundesamt.de/php/prozessdetails.php?id={897C31F4-8C39-468A-97D6-F36A740A607D}</t>
        </r>
      </text>
    </comment>
    <comment ref="B294" authorId="0" shapeId="0">
      <text>
        <r>
          <rPr>
            <b/>
            <sz val="9"/>
            <color indexed="81"/>
            <rFont val="Segoe UI"/>
            <family val="2"/>
          </rPr>
          <t>Author:</t>
        </r>
        <r>
          <rPr>
            <sz val="9"/>
            <color indexed="81"/>
            <rFont val="Segoe UI"/>
            <family val="2"/>
          </rPr>
          <t xml:space="preserve">
http://www.probas.umweltbundesamt.de/php/prozessdetails.php?id={F5FF4F34-5A14-42ED-8032-4F9EFE26FBA5}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E67" authorId="0" shapeId="0">
      <text>
        <r>
          <rPr>
            <b/>
            <sz val="9"/>
            <color indexed="81"/>
            <rFont val="Segoe UI"/>
            <family val="2"/>
          </rPr>
          <t>Author:</t>
        </r>
        <r>
          <rPr>
            <sz val="9"/>
            <color indexed="81"/>
            <rFont val="Segoe UI"/>
            <family val="2"/>
          </rPr>
          <t xml:space="preserve">
Biomethan hat die gleichen verbrennungstechnischen Eigenschaften wie Erdgas.</t>
        </r>
      </text>
    </comment>
  </commentList>
</comments>
</file>

<file path=xl/sharedStrings.xml><?xml version="1.0" encoding="utf-8"?>
<sst xmlns="http://schemas.openxmlformats.org/spreadsheetml/2006/main" count="2721" uniqueCount="183">
  <si>
    <t>Diesel</t>
  </si>
  <si>
    <t>Biodiesel</t>
  </si>
  <si>
    <t xml:space="preserve">Wolfram Knörr; Christoph Heidt; Sabine Gores; Fabian Bergk (2016): Aktualisierung „Daten- und Rechenmodell: Energieverbrauch und Schadstoffemissionen des motorisierten Verkehrs in Deutschland 1960-2035“ (TREMOD) für die Emissionsberichterstattung 2016 (Berichtsperiode 1990-2014). TREMOD, </t>
  </si>
  <si>
    <t>kg CO2/TJ</t>
  </si>
  <si>
    <t>g CO2/J</t>
  </si>
  <si>
    <t>g CO2/liter</t>
  </si>
  <si>
    <t>g CO2/MJ</t>
  </si>
  <si>
    <t>Jurich, Kristina (2016): CO2-Emissionsfaktoren für fossile Brennstoffe. Hg. v. UBA, zuletzt geprüft am 23.01.2019.</t>
  </si>
  <si>
    <t>Michael Memmler, Thomas Lauf, Katharina Wolf, Sven Schneider (2017): Emissionsbilanz erneuerbarer Energieträger. Bestimmung der vermiedenen Emissionen im Jahr 2016. Hg. v. UBA (ISSN 1862-4359).</t>
  </si>
  <si>
    <t>DBFZ (2015)</t>
  </si>
  <si>
    <t>Klimaschutz-Allianz Hannover: C02-Emissionsfaktoren</t>
  </si>
  <si>
    <t>Grote, Karl-Heinrich; Bender, Beate; Göhlich, Dietmar; DUBBEL</t>
  </si>
  <si>
    <t>TREMOD [IFEU 2012]</t>
  </si>
  <si>
    <t>https://umwelt.hessen.de/sites/default/files/media/hmuelv/20150320_entwurf_2._fortschreibung_lrp_ballungsraum_rhein-main_teilplan_ruesselsheim.pdf (Seite 25)</t>
  </si>
  <si>
    <t>MJ/kg</t>
  </si>
  <si>
    <t>Heidt, C.; Lambrecht, U.; Hardinghaus, M: CNG und LPG - Potenziale dieser Energieträger auf dem Weg zu einer nachhaltigeren Energieversorgung des Straßenverkehrs</t>
  </si>
  <si>
    <t>MJ/m³</t>
  </si>
  <si>
    <t>Bauer, Dietsche; Kraftfahrttechnisches Taschenbuch Bosch. (2003)</t>
  </si>
  <si>
    <t>Thomas Heinze; Claudiu Butnar; Well-to-Wheel Analysen von Gasfahrzeugen. Seite 8</t>
  </si>
  <si>
    <t>kg/l</t>
  </si>
  <si>
    <t>KWh/kg</t>
  </si>
  <si>
    <t>Thomas Heinze; Claudiu Butnar; Well-to-Wheel Analysen von Gasfahrzeugen. Seite 7</t>
  </si>
  <si>
    <t>Thomas Heinze; Claudiu Butnar; Well-to-Wheel Analysen von Gasfahrzeugen. Seite 9</t>
  </si>
  <si>
    <t>van Basshuysen, Richard; Schäfer, Fred. Handbuch Verbrennungsmotor. Abb.22.21</t>
  </si>
  <si>
    <t>van Basshuysen, Richard; Schäfer, Fred. Handbuch Verbrennungsmotor. Abb.22.13</t>
  </si>
  <si>
    <t>van Basshuysen, Richard; Schäfer, Fred. Handbuch Verbrennungsmotor. Abb.22.14</t>
  </si>
  <si>
    <t>van Basshuysen, Richard; Schäfer, Fred. Handbuch Verbrennungsmotor. Abb.22.50</t>
  </si>
  <si>
    <t>van Basshuysen, Richard; Schäfer, Fred. Handbuch Verbrennungsmotor. Abb.22.54</t>
  </si>
  <si>
    <t>Chala, Girma; Abd Aziz, Abd; Hagos, Ftwi. Natural Gas Engine Technologies: Challenges and Energy Sustainability Issue. S.12</t>
  </si>
  <si>
    <t>Sarbjot Singh Sandhu. Single Cylinder SI Engine Operated on Blends of CNG and Hydrogen</t>
  </si>
  <si>
    <t>Bioethanol</t>
  </si>
  <si>
    <t>kg CO2/MJ</t>
  </si>
  <si>
    <t>Eigene Berechnung; ISO 6976:2016; Dubbel; Anh. L2 Tabelle 6</t>
  </si>
  <si>
    <t>g/cm³</t>
  </si>
  <si>
    <t>Hurtig, Oliver. Alternative fuels from forest residues for passenger cars - an assessment under German framework conditions. S.4</t>
  </si>
  <si>
    <t>kg/m³</t>
  </si>
  <si>
    <t>Eigene Berechnung; ISO 6976:2016; Dubbel; Anh. L2 Tabelle 6. BMWI_2019_energiedaten-gesamt-xls; Tab.17.</t>
  </si>
  <si>
    <t>Merker, Günter P.; Schwarz, Christian; Teichmann, Rüdiger. Grundlagen Verbrennungsmotoren. S.772</t>
  </si>
  <si>
    <t>SynFuel</t>
  </si>
  <si>
    <t>W. Siebenpfeiffer
W. Siebenpfeiffer. A high-efficiency lean-burn mono-fuel heavy-duty natural gas engine for achieving Euro VI emissions legislation and beyond. S.4</t>
  </si>
  <si>
    <t>g CO2/GJ</t>
  </si>
  <si>
    <t>Edwards, R.; Larivé, J.-F.; Rickeard, D.; Weindorf, W. Well-to-Tank Report Version 4.a. S.84</t>
  </si>
  <si>
    <t>Edwards, R.; Larivé, J.-F.; Rickeard, D.; Weindorf, W. Well-to-Tank Report Version 4.a. S.99</t>
  </si>
  <si>
    <t>Edwards, R.; Larivé, J.-F.; Rickeard, D.; Weindorf, W. Well-to-Tank Report Version 4.a. S.102</t>
  </si>
  <si>
    <t>Edwards, R.; Larivé, J.-F.; Rickeard, D.; Weindorf, W. Well-to-Tank Report Version 4.a. S.107</t>
  </si>
  <si>
    <t>Edwards, R.; Larivé, J.-F.; Rickeard, D.; Weindorf, W. Well-to-Tank Report Version 4.a. S.110</t>
  </si>
  <si>
    <t>Edwards, R.; Larivé, J.-F.; Rickeard, D.; Weindorf, W. Well-to-Tank Report Version 4.a. S.112</t>
  </si>
  <si>
    <t>Edwards, R.; Larivé, J.-F.; Rickeard, D.; Weindorf, W. Well-to-Tank Report Version 4.a. S.129</t>
  </si>
  <si>
    <t>Edwards, R.; Larivé, J.-F.; Rickeard, D.; Weindorf, W. Well-to-Tank Report Version 4.a. S.132</t>
  </si>
  <si>
    <t>Edwards, R.; Larivé, J.-F.; Rickeard, D.; Weindorf, W. Well-to-Tank Report Version 4.a. S.131</t>
  </si>
  <si>
    <t>Edwards, R.; Larivé, J.-F.; Rickeard, D.; Weindorf, W. Well-to-Tank Report Version 4.a. S.134</t>
  </si>
  <si>
    <t>Jang, Jae Jun; Song, Han Ho. Well-to-wheel analysis on greenhouse gas emission and energy use with petroleum-based fuels in Korea: gasoline and diesel. S.1112</t>
  </si>
  <si>
    <t>Ahmadi, Pouria; Kjeang, Erik. Comparative life cycle assessment of hydrogen fuel cell passenger vehicles in different Canadian provinces. S12913</t>
  </si>
  <si>
    <t>g CO2/km</t>
  </si>
  <si>
    <t>Bareiß, Kay; La Rua, Cristina de; Möckl, Maximilian; Hamacher, Thomas. Life cycle assessment of hydrogen from proton exchange membrane water electrolysis in future energy systems. S.1</t>
  </si>
  <si>
    <t xml:space="preserve">GRANOVSKII, M.; Dincer, I.; ROSEN, M. Life cycle assessment of hydrogen fuel cell and gasoline vehicles. </t>
  </si>
  <si>
    <t>g/l</t>
  </si>
  <si>
    <t>GRANOVSKII, M.; Dincer, I.; ROSEN, M. Life cycle assessment of hydrogen fuel cell and gasoline vehicles. S.350</t>
  </si>
  <si>
    <t>Hacatoglu, Kevork; Rosen, Marc A.; Dincer, Ibrahim. Comparative life cycle assessment of hydrogen and other selected fuels. S.9938</t>
  </si>
  <si>
    <t>kg CO2/GJ</t>
  </si>
  <si>
    <t>Hussain, M. M.; Dincer, I.; Li, X. A preliminary life cycle assessment of PEM fuel cell powered automobiles. S2297</t>
  </si>
  <si>
    <t>Emissionen-Vorkette</t>
  </si>
  <si>
    <t>Emissionen-Nutzung</t>
  </si>
  <si>
    <t>Anzahl der verwendeten Werte:</t>
  </si>
  <si>
    <t>Hussain, Mohammed M.; Dincer, I. Electric and Hybrid Vehicles. S.281</t>
  </si>
  <si>
    <t>Ribau, João P.; Silva, Carla M.; Sousa, João M.C. Efficiency, cost and life cycle CO2 optimization of fuel cell hybrid and plug-in hybrid urban buses. S.327</t>
  </si>
  <si>
    <t>SCHAFER, A.; HEYWOOD, J.; WEISS, M. Future fuel cell and internal combustion engine automobile technologies: A 25-year life cycle and fleet impact assessment. 2067</t>
  </si>
  <si>
    <t>WAGNER, U.; ECKL, R.; TZSCHEUTSCHLER, P. Energetic life cycle assessment of fuel cell powertrain systems and alternative fuels in Germany. S.3064</t>
  </si>
  <si>
    <t>WAGNER, U.; ECKL, R.; TZSCHEUTSCHLER, P. Energetic life cycle assessment of fuel cell powertrain systems and alternative fuels in Germany. S.3072</t>
  </si>
  <si>
    <t>kg CO2/km</t>
  </si>
  <si>
    <t>Walker, Sean B.; Fowler, Michael; Ahmadi, Leila. Comparative life cycle assessment of power-to-gas generation of hydrogen with a dynamic emissions factor for fuel cell vehicles. S.68</t>
  </si>
  <si>
    <t>Zamel, Nada; Li, Xianguo. Life cycle comparison of fuel cell vehicles and internal combustion engine vehicles for Canada and the United States. S.1247</t>
  </si>
  <si>
    <t>Zamel, Nada; Li, Xianguo. Life cycle comparison of fuel cell vehicles and internal combustion engine vehicles for Canada and the United States. S.1248</t>
  </si>
  <si>
    <t>Zamel, Nada; Li, Xianguo. Life cycle comparison of fuel cell vehicles and internal combustion engine vehicles for Canada and the United States. S.1249</t>
  </si>
  <si>
    <t>Zamel, Nada; Li, Xianguo. Life cycle comparison of fuel cell vehicles and internal combustion engine vehicles for Canada and the United States. S.1250</t>
  </si>
  <si>
    <t>Helms, Hinrich.; Julius Jöhrens; Jan Hanusch; Ulrich Höpfner; Udo Lambrecht; Martin Pehnt. UMBRELA. Tabelle 31</t>
  </si>
  <si>
    <t>FahrKLang. S.25</t>
  </si>
  <si>
    <t>Helms, Hinrich.; Julius Jöhrens; Jan Hanusch; Ulrich Höpfner; Udo Lambrecht; Martin Pehnt. UMBRELA. S.77</t>
  </si>
  <si>
    <t>Helms, Hinrich.; Julius Jöhrens; Jan Hanusch; Ulrich Höpfner; Udo Lambrecht; Martin Pehnt. UMBRELA. Abb.44</t>
  </si>
  <si>
    <t>Jurich, Kristina (2016): CO2-Emissionsfaktoren für fossile Brennstoffe. S.44</t>
  </si>
  <si>
    <t>Michael Memmler, Thomas Lauf, Katharina Wolf, Sven Schneider. Emissionsbilanz erneuerbarer Energieträger. S.125</t>
  </si>
  <si>
    <t>Michael Memmler, Thomas Lauf, Katharina Wolf, Sven Schneider. Emissionsbilanz erneuerbarer Energieträger. S.129</t>
  </si>
  <si>
    <t>Michael Memmler, Thomas Lauf, Katharina Wolf, Sven Schneider. Emissionsbilanz erneuerbarer Energieträger. S.131</t>
  </si>
  <si>
    <t>Michael Memmler, Thomas Lauf, Katharina Wolf, Sven Schneider. Emissionsbilanz erneuerbarer Energieträger. S.132</t>
  </si>
  <si>
    <t>Michael Memmler, Thomas Lauf, Katharina Wolf, Sven Schneider. Emissionsbilanz erneuerbarer Energieträger. S.133</t>
  </si>
  <si>
    <t>Michael Memmler, Thomas Lauf, Katharina Wolf, Sven Schneider. Emissionsbilanz erneuerbarer Energieträger. S.134</t>
  </si>
  <si>
    <t>Michael Memmler, Thomas Lauf, Katharina Wolf, Sven Schneider. Emissionsbilanz erneuerbarer Energieträger. S.136</t>
  </si>
  <si>
    <t>Biomethan</t>
  </si>
  <si>
    <t>KORONEOS, C. Life cycle assessment of hydrogen fuel production processes. S.1447</t>
  </si>
  <si>
    <t>neutral</t>
  </si>
  <si>
    <t>Edwards, R.; Larivé, J.-F.; Rickeard, D.; Weindorf, W. Well-to-Tank Report Version 4.a. S.87</t>
  </si>
  <si>
    <t>Edwards, R.; Larivé, J.-F.; Rickeard, D.; Weindorf, W. Well-to-Tank Report Version 4.a. S.92</t>
  </si>
  <si>
    <t>W. Siebenpfeiffer. A high-efficiency lean-burn mono-fuel heavy-duty natural gas engine for achieving Euro VI emissions legislation and beyond. S.4</t>
  </si>
  <si>
    <t>European Commission DG ENER. STUDY ON ACTUAL GHG DATA FOR DIESEL, PETROL, KEROSENE AND NATURAL GAS. S.313</t>
  </si>
  <si>
    <t>European Commission DG ENER. STUDY ON ACTUAL GHG DATA FOR DIESEL, PETROL, KEROSENE AND NATURAL GAS. S.465</t>
  </si>
  <si>
    <t>Ecoinvent Database v3.5. Cut-off, Hg. v. Swiss Centre for Life Cycle Inventories. Online verfügbar unter www.ecoinvent.com</t>
  </si>
  <si>
    <t>eigene Angabe</t>
  </si>
  <si>
    <t>Michael Memmler, Thomas Lauf, Katharina Wolf, Sven Schneider. Emissionsbilanz erneuerbarer Energieträger. S.127</t>
  </si>
  <si>
    <t>Bhandari, R.; Trudewind, C. A.; Zap, P. Life Cycle Assessment of Hydrogen Production Methods – A Review. S.39</t>
  </si>
  <si>
    <t>DSD (Studie der Arbeitsgemeinschaft Kunststoffverwertung) 1995: Ökobilanz zur Verwertung von Kunststoffabfällen aus Verkaufsverpackungen, Fraunhofer-Institut München, TU Berlin, Universität Kaiserlautern.
ESU (Gruppe Energie-Stoffe-Umwelt ETH Zürich)/PSI (Paul-Scherrer-Institut)/BEW (Bundesamt für Energiewirtschaft) 1996: Ökoinventare von Energiesystemen, R. Frischknecht u.a., /PSE/BEW, Zürich (3. Auflage mit CDROM).
Ullmann 1989: Ullmann`s Encyclopedia of Industrial Chemistry, Fifth Completely Revised Edition, Vol. A 13, Weinheim.</t>
  </si>
  <si>
    <t>http://www.gemis.de/de/doc/prc/%7BAB8272FD-0BAA-4B33-BB01-319DC1474603%7D.htm</t>
  </si>
  <si>
    <t>http://www.gemis.de/de/doc/prc/%7BC590DD2D-375C-40DA-9A7D-9D6484B835DE%7D.htm</t>
  </si>
  <si>
    <t>http://www.gemis.de/de/doc/prc/%7B6D041327-228F-4995-8F1F-A8D66D5A98DB%7D.htm</t>
  </si>
  <si>
    <t>http://www.gemis.de/de/doc/prc/%7BF6311936-E9FF-4F26-91ED-FFDA7FC15437%7D.htm</t>
  </si>
  <si>
    <t>http://www.gemis.de/de/doc/prc/%7B88E29956-5C12-4351-A538-9EB16E2FFC30%7D.htm</t>
  </si>
  <si>
    <t>http://www.gemis.de/de/doc/prc/%7B5B19E8DD-E8A2-476D-B2A4-F855C6AA6811%7D.htm</t>
  </si>
  <si>
    <t>http://www.gemis.de/de/doc/prc/%7BD53BD00D-5009-4E6E-A1D8-9369CBA9E3AD%7D.htm</t>
  </si>
  <si>
    <t>http://www.gemis.de/de/doc/prc/%7B87DE6FF0-9D42-4DB4-8F59-CCF8CF4CDDDA%7D.htm</t>
  </si>
  <si>
    <t>http://www.gemis.de/de/doc/prc/%7B04433689-9158-447E-A00B-9DCF01E71A82%7D.htm</t>
  </si>
  <si>
    <t>http://www.gemis.de/de/doc/prc/%7B8F5060DD-4AB2-478C-847E-B331D0C284EC%7D.htm</t>
  </si>
  <si>
    <t>http://www.gemis.de/de/doc/prc/%7B02CD39B3-CF26-4151-9918-6D2027CA5941%7D.htm</t>
  </si>
  <si>
    <t>http://www.gemis.de/de/doc/prc/%7BEC447171-91C7-477B-BB04-999BC0218509%7D.htm</t>
  </si>
  <si>
    <t>http://www.gemis.de/de/doc/prc/%7B16F29CDD-DE3A-4B05-B473-3C68D3B107DE%7D.htm</t>
  </si>
  <si>
    <t>http://www.gemis.de/de/doc/prc/%7B897C31F4-8C39-468A-97D6-F36A740A607D%7D.htm</t>
  </si>
  <si>
    <t>http://www.gemis.de/de/doc/prc/%7BF5FF4F34-5A14-42ED-8032-4F9EFE26FBA5%7D.htm</t>
  </si>
  <si>
    <t>Deutsches Biomasseforschungszentrum DBFZ (2015)</t>
  </si>
  <si>
    <t>Research Values</t>
  </si>
  <si>
    <t>Mean and Standard Deviation Values</t>
  </si>
  <si>
    <t>Blending of Fuels</t>
  </si>
  <si>
    <t>Fuels - Overview</t>
  </si>
  <si>
    <t>sheet</t>
  </si>
  <si>
    <t>PivotCharts - fuel supply emissions</t>
  </si>
  <si>
    <t>PivotCharts - direct fuel emissions</t>
  </si>
  <si>
    <t>nr.</t>
  </si>
  <si>
    <t>Reference</t>
  </si>
  <si>
    <t>publication year</t>
  </si>
  <si>
    <t>fuel type</t>
  </si>
  <si>
    <t>characteristic</t>
  </si>
  <si>
    <t>unit (research)</t>
  </si>
  <si>
    <t>value (research)</t>
  </si>
  <si>
    <t>unit (converted)</t>
  </si>
  <si>
    <t>year of reference</t>
  </si>
  <si>
    <t>scenario</t>
  </si>
  <si>
    <t>viability</t>
  </si>
  <si>
    <t>density</t>
  </si>
  <si>
    <t>density in kg/l</t>
  </si>
  <si>
    <t>fuel supply emissions</t>
  </si>
  <si>
    <t>direct fuel emissions</t>
  </si>
  <si>
    <t>Research values of different fuel types</t>
  </si>
  <si>
    <t>optimistic</t>
  </si>
  <si>
    <t>pessimistic</t>
  </si>
  <si>
    <t>optimistic/ pessimistic</t>
  </si>
  <si>
    <t>petrol</t>
  </si>
  <si>
    <t>petrol, mit 4 Vol.-% ETBE-Additiv, Ethanol aus Biomasse</t>
  </si>
  <si>
    <t>petrol, mit 15 Vol.-% ETBE-Additiv, Ethanol aus Biomasse</t>
  </si>
  <si>
    <t>petrol, mit 5 Vol.-% Ethanol aus Biomasse</t>
  </si>
  <si>
    <t>petrol, mit 85 Vol.-% Ethanol aus Biomasse</t>
  </si>
  <si>
    <t>diesel</t>
  </si>
  <si>
    <t>FT diesel</t>
  </si>
  <si>
    <t>dieselöl</t>
  </si>
  <si>
    <t>CNG</t>
  </si>
  <si>
    <t>LPG</t>
  </si>
  <si>
    <t>hydrogen</t>
  </si>
  <si>
    <t>synthetic natural gas (SNG)</t>
  </si>
  <si>
    <t>yes</t>
  </si>
  <si>
    <t>Choi, Wonyese; Song, Han Ho. Well-to-wheel analysis on greenhouse gas emission and energy use with natural gas in Korea. S.1</t>
  </si>
  <si>
    <t>no</t>
  </si>
  <si>
    <t>kg CO2/MJ fuel</t>
  </si>
  <si>
    <t>kg CO2/kg fuel</t>
  </si>
  <si>
    <t>Getzlaff, Jörn. Erdgas als fuel für Kfz-Verbrennungsmotoren. S.136</t>
  </si>
  <si>
    <t>g CO2/kWh fuel</t>
  </si>
  <si>
    <t>kg CO2/TJ fuel</t>
  </si>
  <si>
    <t>Mean value:</t>
  </si>
  <si>
    <t>Number of values:</t>
  </si>
  <si>
    <t>Unit:</t>
  </si>
  <si>
    <t>Standard Deviation</t>
  </si>
  <si>
    <t>Criteria:</t>
  </si>
  <si>
    <t>PivotCharts - lower heating values</t>
  </si>
  <si>
    <t>lower heating value</t>
  </si>
  <si>
    <t>ISO 6976:2016 - Erdgas – Berechnung von Brenn- und lower heating value, density, relativer density und Wobbeindex aus der Zusammensetzung</t>
  </si>
  <si>
    <t>Row Labels</t>
  </si>
  <si>
    <t>Average of unit (converted)</t>
  </si>
  <si>
    <t>Mittelwert von unit (converted)</t>
  </si>
  <si>
    <t>Bioethanol blend</t>
  </si>
  <si>
    <t>Biodiesel blend</t>
  </si>
  <si>
    <t>Biomethan blend</t>
  </si>
  <si>
    <t>own calculation</t>
  </si>
  <si>
    <t>Blend</t>
  </si>
  <si>
    <t>percentage</t>
  </si>
  <si>
    <t>fuel supply emissions in kg CO2/kg fuel</t>
  </si>
  <si>
    <t>direct fuel emissions in g CO2/J</t>
  </si>
  <si>
    <t>Fuel Blending</t>
  </si>
  <si>
    <t>value (converted)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</si>
</sst>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.000"/>
    <numFmt numFmtId="165" formatCode="0.0"/>
    <numFmt numFmtId="166" formatCode="0.0000"/>
    <numFmt numFmtId="167" formatCode="0.000000000"/>
    <numFmt numFmtId="168" formatCode="0.00000000000"/>
    <numFmt numFmtId="169" formatCode="0.00000000"/>
    <numFmt numFmtId="170" formatCode="0.0000000"/>
    <numFmt numFmtId="171" formatCode="0.0000E+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4">
    <xf numFmtId="0" fontId="0" fillId="0" borderId="0" xfId="0"/>
    <xf numFmtId="0" fontId="0" fillId="0" borderId="0" xfId="0" applyAlignment="1">
      <alignment wrapText="1"/>
    </xf>
    <xf numFmtId="2" fontId="0" fillId="0" borderId="0" xfId="0" applyNumberFormat="1"/>
    <xf numFmtId="164" fontId="0" fillId="0" borderId="0" xfId="0" applyNumberFormat="1"/>
    <xf numFmtId="0" fontId="0" fillId="0" borderId="0" xfId="0" applyNumberFormat="1"/>
    <xf numFmtId="165" fontId="0" fillId="0" borderId="0" xfId="0" applyNumberFormat="1" applyFont="1"/>
    <xf numFmtId="0" fontId="3" fillId="4" borderId="2" xfId="0" applyFont="1" applyFill="1" applyBorder="1" applyAlignment="1">
      <alignment wrapText="1"/>
    </xf>
    <xf numFmtId="9" fontId="0" fillId="0" borderId="0" xfId="1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65" fontId="0" fillId="0" borderId="0" xfId="0" applyNumberFormat="1"/>
    <xf numFmtId="0" fontId="0" fillId="0" borderId="0" xfId="0" applyAlignment="1">
      <alignment horizontal="right" indent="1"/>
    </xf>
    <xf numFmtId="166" fontId="0" fillId="0" borderId="0" xfId="0" applyNumberFormat="1"/>
    <xf numFmtId="167" fontId="0" fillId="0" borderId="0" xfId="0" applyNumberFormat="1"/>
    <xf numFmtId="168" fontId="0" fillId="0" borderId="0" xfId="0" applyNumberFormat="1"/>
    <xf numFmtId="0" fontId="0" fillId="0" borderId="0" xfId="0" applyAlignment="1"/>
    <xf numFmtId="0" fontId="0" fillId="0" borderId="0" xfId="0" quotePrefix="1" applyNumberFormat="1"/>
    <xf numFmtId="0" fontId="0" fillId="6" borderId="1" xfId="0" applyFill="1" applyBorder="1"/>
    <xf numFmtId="0" fontId="2" fillId="0" borderId="0" xfId="0" applyFont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2" fillId="6" borderId="1" xfId="0" applyFont="1" applyFill="1" applyBorder="1"/>
    <xf numFmtId="0" fontId="2" fillId="6" borderId="1" xfId="0" applyFont="1" applyFill="1" applyBorder="1" applyAlignment="1">
      <alignment vertical="center"/>
    </xf>
    <xf numFmtId="169" fontId="2" fillId="3" borderId="1" xfId="0" applyNumberFormat="1" applyFont="1" applyFill="1" applyBorder="1"/>
    <xf numFmtId="166" fontId="2" fillId="3" borderId="1" xfId="0" applyNumberFormat="1" applyFont="1" applyFill="1" applyBorder="1"/>
    <xf numFmtId="166" fontId="2" fillId="6" borderId="1" xfId="0" applyNumberFormat="1" applyFont="1" applyFill="1" applyBorder="1"/>
    <xf numFmtId="0" fontId="2" fillId="6" borderId="1" xfId="0" applyFont="1" applyFill="1" applyBorder="1" applyAlignment="1">
      <alignment horizontal="left"/>
    </xf>
    <xf numFmtId="0" fontId="2" fillId="5" borderId="1" xfId="0" applyFont="1" applyFill="1" applyBorder="1"/>
    <xf numFmtId="0" fontId="0" fillId="5" borderId="1" xfId="0" applyFill="1" applyBorder="1"/>
    <xf numFmtId="0" fontId="2" fillId="6" borderId="1" xfId="0" applyFont="1" applyFill="1" applyBorder="1" applyAlignment="1">
      <alignment horizontal="center" wrapText="1"/>
    </xf>
    <xf numFmtId="0" fontId="0" fillId="2" borderId="0" xfId="0" applyNumberFormat="1" applyFill="1"/>
    <xf numFmtId="9" fontId="5" fillId="0" borderId="0" xfId="1" applyFont="1"/>
    <xf numFmtId="0" fontId="0" fillId="0" borderId="0" xfId="0" applyFont="1"/>
    <xf numFmtId="0" fontId="3" fillId="4" borderId="0" xfId="0" applyFont="1" applyFill="1" applyAlignment="1">
      <alignment wrapText="1"/>
    </xf>
    <xf numFmtId="0" fontId="0" fillId="0" borderId="0" xfId="0" applyNumberFormat="1" applyFill="1"/>
    <xf numFmtId="170" fontId="2" fillId="3" borderId="1" xfId="0" applyNumberFormat="1" applyFont="1" applyFill="1" applyBorder="1"/>
    <xf numFmtId="0" fontId="6" fillId="7" borderId="0" xfId="0" applyFont="1" applyFill="1" applyBorder="1" applyAlignment="1">
      <alignment horizontal="center"/>
    </xf>
    <xf numFmtId="0" fontId="7" fillId="7" borderId="0" xfId="0" applyFont="1" applyFill="1" applyBorder="1"/>
    <xf numFmtId="0" fontId="0" fillId="7" borderId="0" xfId="0" applyFill="1" applyBorder="1"/>
    <xf numFmtId="0" fontId="6" fillId="7" borderId="0" xfId="0" applyFont="1" applyFill="1" applyBorder="1"/>
    <xf numFmtId="0" fontId="8" fillId="8" borderId="0" xfId="0" applyFont="1" applyFill="1" applyBorder="1" applyAlignment="1">
      <alignment horizontal="center"/>
    </xf>
    <xf numFmtId="0" fontId="8" fillId="8" borderId="0" xfId="0" applyFont="1" applyFill="1" applyBorder="1"/>
    <xf numFmtId="0" fontId="2" fillId="8" borderId="0" xfId="0" applyFont="1" applyFill="1" applyBorder="1"/>
    <xf numFmtId="0" fontId="8" fillId="9" borderId="0" xfId="0" applyFont="1" applyFill="1" applyBorder="1" applyAlignment="1">
      <alignment horizontal="center"/>
    </xf>
    <xf numFmtId="0" fontId="8" fillId="9" borderId="0" xfId="0" applyFont="1" applyFill="1" applyBorder="1"/>
    <xf numFmtId="0" fontId="2" fillId="9" borderId="0" xfId="0" applyFont="1" applyFill="1" applyBorder="1"/>
    <xf numFmtId="0" fontId="8" fillId="10" borderId="0" xfId="0" applyFont="1" applyFill="1" applyBorder="1" applyAlignment="1">
      <alignment horizontal="center"/>
    </xf>
    <xf numFmtId="0" fontId="8" fillId="10" borderId="0" xfId="0" applyFont="1" applyFill="1" applyBorder="1"/>
    <xf numFmtId="0" fontId="2" fillId="10" borderId="0" xfId="0" applyFont="1" applyFill="1" applyBorder="1"/>
    <xf numFmtId="0" fontId="9" fillId="10" borderId="0" xfId="0" applyFont="1" applyFill="1" applyBorder="1"/>
    <xf numFmtId="0" fontId="10" fillId="10" borderId="0" xfId="0" applyFont="1" applyFill="1" applyBorder="1"/>
    <xf numFmtId="0" fontId="10" fillId="7" borderId="0" xfId="0" applyFont="1" applyFill="1" applyBorder="1"/>
    <xf numFmtId="0" fontId="8" fillId="11" borderId="0" xfId="0" applyFont="1" applyFill="1" applyBorder="1" applyAlignment="1">
      <alignment horizontal="center"/>
    </xf>
    <xf numFmtId="0" fontId="8" fillId="11" borderId="0" xfId="0" applyFont="1" applyFill="1" applyBorder="1"/>
    <xf numFmtId="0" fontId="10" fillId="11" borderId="0" xfId="0" applyFont="1" applyFill="1" applyBorder="1"/>
    <xf numFmtId="0" fontId="9" fillId="11" borderId="0" xfId="0" applyFont="1" applyFill="1" applyBorder="1"/>
    <xf numFmtId="0" fontId="10" fillId="11" borderId="0" xfId="0" applyFont="1" applyFill="1" applyBorder="1" applyAlignment="1">
      <alignment horizontal="left"/>
    </xf>
    <xf numFmtId="0" fontId="10" fillId="11" borderId="0" xfId="0" applyFont="1" applyFill="1" applyBorder="1" applyAlignment="1">
      <alignment horizontal="center"/>
    </xf>
    <xf numFmtId="0" fontId="8" fillId="12" borderId="0" xfId="0" applyFont="1" applyFill="1" applyBorder="1" applyAlignment="1">
      <alignment horizontal="center"/>
    </xf>
    <xf numFmtId="0" fontId="8" fillId="12" borderId="0" xfId="0" applyFont="1" applyFill="1" applyBorder="1"/>
    <xf numFmtId="0" fontId="10" fillId="12" borderId="0" xfId="0" applyFont="1" applyFill="1" applyBorder="1"/>
    <xf numFmtId="0" fontId="9" fillId="12" borderId="0" xfId="0" applyFont="1" applyFill="1" applyBorder="1"/>
    <xf numFmtId="0" fontId="10" fillId="12" borderId="0" xfId="0" applyFont="1" applyFill="1" applyBorder="1" applyAlignment="1">
      <alignment horizontal="center"/>
    </xf>
    <xf numFmtId="0" fontId="10" fillId="12" borderId="0" xfId="0" applyFont="1" applyFill="1" applyBorder="1" applyAlignment="1">
      <alignment horizontal="left"/>
    </xf>
    <xf numFmtId="0" fontId="9" fillId="12" borderId="0" xfId="0" applyFont="1" applyFill="1" applyBorder="1" applyAlignment="1">
      <alignment horizontal="center"/>
    </xf>
    <xf numFmtId="0" fontId="8" fillId="13" borderId="0" xfId="0" applyFont="1" applyFill="1" applyBorder="1" applyAlignment="1">
      <alignment horizontal="center"/>
    </xf>
    <xf numFmtId="0" fontId="8" fillId="13" borderId="0" xfId="0" applyFont="1" applyFill="1" applyBorder="1"/>
    <xf numFmtId="0" fontId="2" fillId="13" borderId="0" xfId="0" applyFont="1" applyFill="1" applyBorder="1"/>
    <xf numFmtId="0" fontId="0" fillId="0" borderId="0" xfId="0" applyAlignment="1">
      <alignment horizontal="left" indent="2"/>
    </xf>
    <xf numFmtId="170" fontId="0" fillId="0" borderId="0" xfId="0" applyNumberFormat="1"/>
    <xf numFmtId="0" fontId="0" fillId="2" borderId="0" xfId="0" applyFill="1"/>
    <xf numFmtId="170" fontId="0" fillId="0" borderId="0" xfId="0" applyNumberFormat="1" applyFill="1"/>
    <xf numFmtId="171" fontId="0" fillId="0" borderId="0" xfId="0" applyNumberFormat="1"/>
    <xf numFmtId="0" fontId="11" fillId="0" borderId="0" xfId="0" applyFont="1"/>
    <xf numFmtId="9" fontId="14" fillId="0" borderId="0" xfId="0" applyNumberFormat="1" applyFont="1"/>
    <xf numFmtId="0" fontId="15" fillId="0" borderId="0" xfId="0" applyFont="1"/>
    <xf numFmtId="0" fontId="0" fillId="7" borderId="0" xfId="0" applyFill="1"/>
    <xf numFmtId="0" fontId="4" fillId="4" borderId="0" xfId="0" applyFont="1" applyFill="1" applyBorder="1" applyAlignment="1">
      <alignment horizontal="center" wrapText="1"/>
    </xf>
    <xf numFmtId="0" fontId="2" fillId="6" borderId="3" xfId="0" applyFont="1" applyFill="1" applyBorder="1" applyAlignment="1">
      <alignment horizontal="center" vertical="center"/>
    </xf>
    <xf numFmtId="0" fontId="2" fillId="6" borderId="4" xfId="0" applyFont="1" applyFill="1" applyBorder="1" applyAlignment="1">
      <alignment horizontal="center" vertical="center"/>
    </xf>
    <xf numFmtId="0" fontId="2" fillId="6" borderId="5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173">
    <dxf>
      <fill>
        <patternFill>
          <bgColor rgb="FF92D050"/>
        </patternFill>
      </fill>
    </dxf>
    <dxf>
      <fill>
        <patternFill>
          <bgColor rgb="FFFF0000"/>
        </patternFill>
      </fill>
    </dxf>
    <dxf>
      <numFmt numFmtId="168" formatCode="0.00000000000"/>
    </dxf>
    <dxf>
      <numFmt numFmtId="168" formatCode="0.00000000000"/>
    </dxf>
    <dxf>
      <numFmt numFmtId="168" formatCode="0.00000000000"/>
    </dxf>
    <dxf>
      <numFmt numFmtId="168" formatCode="0.00000000000"/>
    </dxf>
    <dxf>
      <numFmt numFmtId="168" formatCode="0.00000000000"/>
    </dxf>
    <dxf>
      <numFmt numFmtId="168" formatCode="0.00000000000"/>
    </dxf>
    <dxf>
      <numFmt numFmtId="172" formatCode="0.0000000000"/>
    </dxf>
    <dxf>
      <numFmt numFmtId="167" formatCode="0.000000000"/>
    </dxf>
    <dxf>
      <numFmt numFmtId="169" formatCode="0.00000000"/>
    </dxf>
    <dxf>
      <numFmt numFmtId="170" formatCode="0.0000000"/>
    </dxf>
    <dxf>
      <numFmt numFmtId="173" formatCode="0.000000"/>
    </dxf>
    <dxf>
      <numFmt numFmtId="174" formatCode="0.00000"/>
    </dxf>
    <dxf>
      <numFmt numFmtId="166" formatCode="0.0000"/>
    </dxf>
    <dxf>
      <numFmt numFmtId="164" formatCode="0.000"/>
    </dxf>
    <dxf>
      <numFmt numFmtId="2" formatCode="0.00"/>
    </dxf>
    <dxf>
      <numFmt numFmtId="2" formatCode="0.00"/>
    </dxf>
    <dxf>
      <numFmt numFmtId="165" formatCode="0.0"/>
    </dxf>
    <dxf>
      <numFmt numFmtId="165" formatCode="0.0"/>
    </dxf>
    <dxf>
      <numFmt numFmtId="2" formatCode="0.00"/>
    </dxf>
    <dxf>
      <numFmt numFmtId="2" formatCode="0.00"/>
    </dxf>
    <dxf>
      <numFmt numFmtId="164" formatCode="0.000"/>
    </dxf>
    <dxf>
      <numFmt numFmtId="164" formatCode="0.000"/>
    </dxf>
    <dxf>
      <numFmt numFmtId="166" formatCode="0.0000"/>
    </dxf>
    <dxf>
      <numFmt numFmtId="166" formatCode="0.0000"/>
    </dxf>
    <dxf>
      <numFmt numFmtId="174" formatCode="0.00000"/>
    </dxf>
    <dxf>
      <numFmt numFmtId="174" formatCode="0.00000"/>
    </dxf>
    <dxf>
      <numFmt numFmtId="173" formatCode="0.000000"/>
    </dxf>
    <dxf>
      <numFmt numFmtId="173" formatCode="0.000000"/>
    </dxf>
    <dxf>
      <numFmt numFmtId="165" formatCode="0.0"/>
    </dxf>
    <dxf>
      <numFmt numFmtId="165" formatCode="0.0"/>
    </dxf>
    <dxf>
      <numFmt numFmtId="165" formatCode="0.0"/>
    </dxf>
    <dxf>
      <numFmt numFmtId="2" formatCode="0.00"/>
    </dxf>
    <dxf>
      <numFmt numFmtId="2" formatCode="0.00"/>
    </dxf>
    <dxf>
      <numFmt numFmtId="164" formatCode="0.000"/>
    </dxf>
    <dxf>
      <numFmt numFmtId="164" formatCode="0.000"/>
    </dxf>
    <dxf>
      <numFmt numFmtId="168" formatCode="0.00000000000"/>
    </dxf>
    <dxf>
      <numFmt numFmtId="168" formatCode="0.00000000000"/>
    </dxf>
    <dxf>
      <numFmt numFmtId="172" formatCode="0.0000000000"/>
    </dxf>
    <dxf>
      <numFmt numFmtId="167" formatCode="0.000000000"/>
    </dxf>
    <dxf>
      <numFmt numFmtId="169" formatCode="0.00000000"/>
    </dxf>
    <dxf>
      <numFmt numFmtId="170" formatCode="0.0000000"/>
    </dxf>
    <dxf>
      <numFmt numFmtId="173" formatCode="0.000000"/>
    </dxf>
    <dxf>
      <numFmt numFmtId="174" formatCode="0.00000"/>
    </dxf>
    <dxf>
      <numFmt numFmtId="166" formatCode="0.0000"/>
    </dxf>
    <dxf>
      <numFmt numFmtId="164" formatCode="0.000"/>
    </dxf>
    <dxf>
      <numFmt numFmtId="2" formatCode="0.00"/>
    </dxf>
    <dxf>
      <numFmt numFmtId="2" formatCode="0.00"/>
    </dxf>
    <dxf>
      <numFmt numFmtId="165" formatCode="0.0"/>
    </dxf>
    <dxf>
      <numFmt numFmtId="165" formatCode="0.0"/>
    </dxf>
    <dxf>
      <numFmt numFmtId="2" formatCode="0.00"/>
    </dxf>
    <dxf>
      <numFmt numFmtId="2" formatCode="0.00"/>
    </dxf>
    <dxf>
      <numFmt numFmtId="165" formatCode="0.0"/>
    </dxf>
    <dxf>
      <numFmt numFmtId="165" formatCode="0.0"/>
    </dxf>
    <dxf>
      <numFmt numFmtId="1" formatCode="0"/>
    </dxf>
    <dxf>
      <numFmt numFmtId="1" formatCode="0"/>
    </dxf>
    <dxf>
      <numFmt numFmtId="165" formatCode="0.0"/>
    </dxf>
    <dxf>
      <numFmt numFmtId="165" formatCode="0.0"/>
    </dxf>
    <dxf>
      <numFmt numFmtId="2" formatCode="0.00"/>
    </dxf>
    <dxf>
      <numFmt numFmtId="2" formatCode="0.00"/>
    </dxf>
    <dxf>
      <numFmt numFmtId="164" formatCode="0.000"/>
    </dxf>
    <dxf>
      <numFmt numFmtId="164" formatCode="0.000"/>
    </dxf>
    <dxf>
      <numFmt numFmtId="168" formatCode="0.00000000000"/>
    </dxf>
    <dxf>
      <numFmt numFmtId="168" formatCode="0.00000000000"/>
    </dxf>
    <dxf>
      <numFmt numFmtId="168" formatCode="0.00000000000"/>
    </dxf>
    <dxf>
      <numFmt numFmtId="172" formatCode="0.0000000000"/>
    </dxf>
    <dxf>
      <numFmt numFmtId="167" formatCode="0.000000000"/>
    </dxf>
    <dxf>
      <numFmt numFmtId="169" formatCode="0.00000000"/>
    </dxf>
    <dxf>
      <numFmt numFmtId="170" formatCode="0.0000000"/>
    </dxf>
    <dxf>
      <numFmt numFmtId="173" formatCode="0.000000"/>
    </dxf>
    <dxf>
      <numFmt numFmtId="174" formatCode="0.00000"/>
    </dxf>
    <dxf>
      <numFmt numFmtId="166" formatCode="0.0000"/>
    </dxf>
    <dxf>
      <numFmt numFmtId="164" formatCode="0.000"/>
    </dxf>
    <dxf>
      <numFmt numFmtId="2" formatCode="0.00"/>
    </dxf>
    <dxf>
      <numFmt numFmtId="2" formatCode="0.00"/>
    </dxf>
    <dxf>
      <numFmt numFmtId="165" formatCode="0.0"/>
    </dxf>
    <dxf>
      <numFmt numFmtId="165" formatCode="0.0"/>
    </dxf>
    <dxf>
      <numFmt numFmtId="2" formatCode="0.00"/>
    </dxf>
    <dxf>
      <numFmt numFmtId="2" formatCode="0.00"/>
    </dxf>
    <dxf>
      <numFmt numFmtId="164" formatCode="0.000"/>
    </dxf>
    <dxf>
      <numFmt numFmtId="164" formatCode="0.000"/>
    </dxf>
    <dxf>
      <numFmt numFmtId="167" formatCode="0.000000000"/>
    </dxf>
    <dxf>
      <numFmt numFmtId="167" formatCode="0.000000000"/>
    </dxf>
    <dxf>
      <numFmt numFmtId="167" formatCode="0.000000000"/>
    </dxf>
    <dxf>
      <numFmt numFmtId="172" formatCode="0.0000000000"/>
    </dxf>
    <dxf>
      <numFmt numFmtId="167" formatCode="0.000000000"/>
    </dxf>
    <dxf>
      <numFmt numFmtId="169" formatCode="0.00000000"/>
    </dxf>
    <dxf>
      <numFmt numFmtId="170" formatCode="0.0000000"/>
    </dxf>
    <dxf>
      <numFmt numFmtId="173" formatCode="0.000000"/>
    </dxf>
    <dxf>
      <numFmt numFmtId="174" formatCode="0.00000"/>
    </dxf>
    <dxf>
      <numFmt numFmtId="166" formatCode="0.0000"/>
    </dxf>
    <dxf>
      <numFmt numFmtId="164" formatCode="0.000"/>
    </dxf>
    <dxf>
      <numFmt numFmtId="2" formatCode="0.00"/>
    </dxf>
    <dxf>
      <numFmt numFmtId="2" formatCode="0.00"/>
    </dxf>
    <dxf>
      <numFmt numFmtId="165" formatCode="0.0"/>
    </dxf>
    <dxf>
      <numFmt numFmtId="165" formatCode="0.0"/>
    </dxf>
    <dxf>
      <numFmt numFmtId="2" formatCode="0.00"/>
    </dxf>
    <dxf>
      <numFmt numFmtId="2" formatCode="0.00"/>
    </dxf>
    <dxf>
      <numFmt numFmtId="164" formatCode="0.000"/>
    </dxf>
    <dxf>
      <numFmt numFmtId="164" formatCode="0.000"/>
    </dxf>
    <dxf>
      <numFmt numFmtId="165" formatCode="0.0"/>
    </dxf>
    <dxf>
      <numFmt numFmtId="165" formatCode="0.0"/>
    </dxf>
    <dxf>
      <numFmt numFmtId="165" formatCode="0.0"/>
    </dxf>
    <dxf>
      <numFmt numFmtId="2" formatCode="0.00"/>
    </dxf>
    <dxf>
      <numFmt numFmtId="2" formatCode="0.00"/>
    </dxf>
    <dxf>
      <numFmt numFmtId="164" formatCode="0.000"/>
    </dxf>
    <dxf>
      <numFmt numFmtId="164" formatCode="0.000"/>
    </dxf>
    <dxf>
      <numFmt numFmtId="2" formatCode="0.00"/>
    </dxf>
    <dxf>
      <numFmt numFmtId="165" formatCode="0.0"/>
    </dxf>
    <dxf>
      <numFmt numFmtId="165" formatCode="0.0"/>
    </dxf>
    <dxf>
      <numFmt numFmtId="2" formatCode="0.00"/>
    </dxf>
    <dxf>
      <numFmt numFmtId="2" formatCode="0.00"/>
    </dxf>
    <dxf>
      <numFmt numFmtId="164" formatCode="0.000"/>
    </dxf>
    <dxf>
      <numFmt numFmtId="164" formatCode="0.000"/>
    </dxf>
    <dxf>
      <numFmt numFmtId="2" formatCode="0.00"/>
    </dxf>
    <dxf>
      <numFmt numFmtId="165" formatCode="0.0"/>
    </dxf>
    <dxf>
      <numFmt numFmtId="165" formatCode="0.0"/>
    </dxf>
    <dxf>
      <numFmt numFmtId="2" formatCode="0.00"/>
    </dxf>
    <dxf>
      <numFmt numFmtId="2" formatCode="0.00"/>
    </dxf>
    <dxf>
      <numFmt numFmtId="164" formatCode="0.000"/>
    </dxf>
    <dxf>
      <numFmt numFmtId="164" formatCode="0.000"/>
    </dxf>
    <dxf>
      <numFmt numFmtId="2" formatCode="0.00"/>
    </dxf>
    <dxf>
      <numFmt numFmtId="165" formatCode="0.0"/>
    </dxf>
    <dxf>
      <numFmt numFmtId="165" formatCode="0.0"/>
    </dxf>
    <dxf>
      <numFmt numFmtId="2" formatCode="0.00"/>
    </dxf>
    <dxf>
      <numFmt numFmtId="2" formatCode="0.00"/>
    </dxf>
    <dxf>
      <numFmt numFmtId="164" formatCode="0.000"/>
    </dxf>
    <dxf>
      <numFmt numFmtId="164" formatCode="0.000"/>
    </dxf>
    <dxf>
      <numFmt numFmtId="166" formatCode="0.0000"/>
    </dxf>
    <dxf>
      <numFmt numFmtId="166" formatCode="0.0000"/>
    </dxf>
    <dxf>
      <numFmt numFmtId="174" formatCode="0.00000"/>
    </dxf>
    <dxf>
      <numFmt numFmtId="174" formatCode="0.00000"/>
    </dxf>
    <dxf>
      <numFmt numFmtId="173" formatCode="0.000000"/>
    </dxf>
    <dxf>
      <numFmt numFmtId="173" formatCode="0.000000"/>
    </dxf>
    <dxf>
      <numFmt numFmtId="2" formatCode="0.00"/>
    </dxf>
    <dxf>
      <numFmt numFmtId="165" formatCode="0.0"/>
    </dxf>
    <dxf>
      <numFmt numFmtId="165" formatCode="0.0"/>
    </dxf>
    <dxf>
      <numFmt numFmtId="2" formatCode="0.00"/>
    </dxf>
    <dxf>
      <numFmt numFmtId="2" formatCode="0.00"/>
    </dxf>
    <dxf>
      <numFmt numFmtId="165" formatCode="0.0"/>
    </dxf>
    <dxf>
      <numFmt numFmtId="165" formatCode="0.0"/>
    </dxf>
    <dxf>
      <numFmt numFmtId="1" formatCode="0"/>
    </dxf>
    <dxf>
      <numFmt numFmtId="1" formatCode="0"/>
    </dxf>
    <dxf>
      <numFmt numFmtId="165" formatCode="0.0"/>
    </dxf>
    <dxf>
      <numFmt numFmtId="165" formatCode="0.0"/>
    </dxf>
    <dxf>
      <numFmt numFmtId="2" formatCode="0.00"/>
    </dxf>
    <dxf>
      <numFmt numFmtId="2" formatCode="0.00"/>
    </dxf>
    <dxf>
      <numFmt numFmtId="164" formatCode="0.000"/>
    </dxf>
    <dxf>
      <numFmt numFmtId="164" formatCode="0.000"/>
    </dxf>
    <dxf>
      <numFmt numFmtId="2" formatCode="0.00"/>
    </dxf>
    <dxf>
      <numFmt numFmtId="165" formatCode="0.0"/>
    </dxf>
    <dxf>
      <numFmt numFmtId="165" formatCode="0.0"/>
    </dxf>
    <dxf>
      <numFmt numFmtId="2" formatCode="0.00"/>
    </dxf>
    <dxf>
      <numFmt numFmtId="2" formatCode="0.00"/>
    </dxf>
    <dxf>
      <numFmt numFmtId="164" formatCode="0.000"/>
    </dxf>
    <dxf>
      <numFmt numFmtId="164" formatCode="0.000"/>
    </dxf>
    <dxf>
      <numFmt numFmtId="2" formatCode="0.00"/>
    </dxf>
    <dxf>
      <numFmt numFmtId="165" formatCode="0.0"/>
    </dxf>
    <dxf>
      <numFmt numFmtId="165" formatCode="0.0"/>
    </dxf>
    <dxf>
      <numFmt numFmtId="2" formatCode="0.00"/>
    </dxf>
    <dxf>
      <numFmt numFmtId="2" formatCode="0.00"/>
    </dxf>
    <dxf>
      <numFmt numFmtId="164" formatCode="0.000"/>
    </dxf>
    <dxf>
      <numFmt numFmtId="164" formatCode="0.000"/>
    </dxf>
    <dxf>
      <numFmt numFmtId="166" formatCode="0.0000"/>
    </dxf>
    <dxf>
      <numFmt numFmtId="166" formatCode="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8"/>
          <bgColor theme="8"/>
        </patternFill>
      </fill>
      <alignment horizontal="general" vertical="bottom" textRotation="0" wrapText="1" indent="0" justifyLastLine="0" shrinkToFit="0" readingOrder="0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0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1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[S2 Meta-Analysis of Fuels.xlsx]4!PivotTable1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Comparison of lower heating values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numFmt formatCode="#,##0.0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'4'!$B$38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'4'!$A$39:$A$46</c:f>
              <c:strCache>
                <c:ptCount val="8"/>
                <c:pt idx="0">
                  <c:v>Bioethanol</c:v>
                </c:pt>
                <c:pt idx="1">
                  <c:v>Biodiesel</c:v>
                </c:pt>
                <c:pt idx="2">
                  <c:v>Diesel</c:v>
                </c:pt>
                <c:pt idx="3">
                  <c:v>petrol</c:v>
                </c:pt>
                <c:pt idx="4">
                  <c:v>SynFuel</c:v>
                </c:pt>
                <c:pt idx="5">
                  <c:v>LPG</c:v>
                </c:pt>
                <c:pt idx="6">
                  <c:v>CNG</c:v>
                </c:pt>
                <c:pt idx="7">
                  <c:v>hydrogen</c:v>
                </c:pt>
              </c:strCache>
            </c:strRef>
          </c:cat>
          <c:val>
            <c:numRef>
              <c:f>'4'!$B$39:$B$46</c:f>
              <c:numCache>
                <c:formatCode>General</c:formatCode>
                <c:ptCount val="8"/>
                <c:pt idx="0">
                  <c:v>26.787500000000001</c:v>
                </c:pt>
                <c:pt idx="1">
                  <c:v>37.241999999999997</c:v>
                </c:pt>
                <c:pt idx="2">
                  <c:v>42.925555555555562</c:v>
                </c:pt>
                <c:pt idx="3">
                  <c:v>42.977333333333334</c:v>
                </c:pt>
                <c:pt idx="4">
                  <c:v>43.99</c:v>
                </c:pt>
                <c:pt idx="5">
                  <c:v>45.989799999999995</c:v>
                </c:pt>
                <c:pt idx="6">
                  <c:v>46.188207145943075</c:v>
                </c:pt>
                <c:pt idx="7">
                  <c:v>120.3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DA4-4FDF-BFE3-5819C1C053E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595256496"/>
        <c:axId val="-595254864"/>
      </c:barChart>
      <c:catAx>
        <c:axId val="-595256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595254864"/>
        <c:crosses val="autoZero"/>
        <c:auto val="1"/>
        <c:lblAlgn val="ctr"/>
        <c:lblOffset val="100"/>
        <c:noMultiLvlLbl val="0"/>
      </c:catAx>
      <c:valAx>
        <c:axId val="-595254864"/>
        <c:scaling>
          <c:orientation val="minMax"/>
          <c:max val="13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lower heating value</a:t>
                </a:r>
                <a:r>
                  <a:rPr lang="de-DE" baseline="0"/>
                  <a:t> </a:t>
                </a:r>
                <a:r>
                  <a:rPr lang="de-DE"/>
                  <a:t>in MJ/kg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595256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pivotSource>
    <c:name>[S2 Meta-Analysis of Fuels.xlsx]13!PivotTable6</c:name>
    <c:fmtId val="19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diesel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'13'!$B$38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'13'!$A$39:$A$46</c:f>
              <c:multiLvlStrCache>
                <c:ptCount val="4"/>
                <c:lvl>
                  <c:pt idx="0">
                    <c:v>Jurich, Kristina (2016): CO2-Emissionsfaktoren für fossile Brennstoffe. Hg. v. UBA, zuletzt geprüft am 23.01.2019.</c:v>
                  </c:pt>
                  <c:pt idx="1">
                    <c:v>Wolfram Knörr; Christoph Heidt; Sabine Gores; Fabian Bergk (2016): Aktualisierung „Daten- und Rechenmodell: Energieverbrauch und Schadstoffemissionen des motorisierten Verkehrs in Deutschland 1960-2035“ (TREMOD) für die Emissionsberichterstattung 2016 (Ber</c:v>
                  </c:pt>
                  <c:pt idx="2">
                    <c:v>Klimaschutz-Allianz Hannover: C02-Emissionsfaktoren</c:v>
                  </c:pt>
                  <c:pt idx="3">
                    <c:v>Michael Memmler, Thomas Lauf, Katharina Wolf, Sven Schneider. Emissionsbilanz erneuerbarer Energieträger. S.134</c:v>
                  </c:pt>
                </c:lvl>
                <c:lvl>
                  <c:pt idx="0">
                    <c:v>156</c:v>
                  </c:pt>
                  <c:pt idx="1">
                    <c:v>159</c:v>
                  </c:pt>
                  <c:pt idx="2">
                    <c:v>199</c:v>
                  </c:pt>
                  <c:pt idx="3">
                    <c:v>251</c:v>
                  </c:pt>
                </c:lvl>
              </c:multiLvlStrCache>
            </c:multiLvlStrRef>
          </c:cat>
          <c:val>
            <c:numRef>
              <c:f>'13'!$B$39:$B$46</c:f>
              <c:numCache>
                <c:formatCode>0.00000000000</c:formatCode>
                <c:ptCount val="4"/>
                <c:pt idx="0">
                  <c:v>7.3999999999999996E-5</c:v>
                </c:pt>
                <c:pt idx="1">
                  <c:v>7.4027000000000001E-5</c:v>
                </c:pt>
                <c:pt idx="2">
                  <c:v>7.3836462052171429E-5</c:v>
                </c:pt>
                <c:pt idx="3">
                  <c:v>7.3999999999999996E-5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89A-4DF9-90BF-925346FA7DB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435502768"/>
        <c:axId val="-435513648"/>
      </c:barChart>
      <c:catAx>
        <c:axId val="-435502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435513648"/>
        <c:crosses val="autoZero"/>
        <c:auto val="1"/>
        <c:lblAlgn val="ctr"/>
        <c:lblOffset val="100"/>
        <c:noMultiLvlLbl val="1"/>
      </c:catAx>
      <c:valAx>
        <c:axId val="-435513648"/>
        <c:scaling>
          <c:orientation val="minMax"/>
          <c:max val="8.0000000000000034E-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g CO2/J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000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435502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Data val="1"/>
      </c14:pivotOptions>
    </c:ext>
  </c:extLs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pivotSource>
    <c:name>[S2 Meta-Analysis of Fuels.xlsx]14!PivotTable7</c:name>
    <c:fmtId val="1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LPG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'14'!$B$38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'14'!$A$39:$A$44</c:f>
              <c:multiLvlStrCache>
                <c:ptCount val="3"/>
                <c:lvl>
                  <c:pt idx="0">
                    <c:v>Jurich, Kristina (2016): CO2-Emissionsfaktoren für fossile Brennstoffe. Hg. v. UBA, zuletzt geprüft am 23.01.2019.</c:v>
                  </c:pt>
                  <c:pt idx="1">
                    <c:v>Wolfram Knörr; Christoph Heidt; Sabine Gores; Fabian Bergk (2016): Aktualisierung „Daten- und Rechenmodell: Energieverbrauch und Schadstoffemissionen des motorisierten Verkehrs in Deutschland 1960-2035“ (TREMOD) für die Emissionsberichterstattung 2016 (Ber</c:v>
                  </c:pt>
                  <c:pt idx="2">
                    <c:v>Klimaschutz-Allianz Hannover: C02-Emissionsfaktoren</c:v>
                  </c:pt>
                </c:lvl>
                <c:lvl>
                  <c:pt idx="0">
                    <c:v>157</c:v>
                  </c:pt>
                  <c:pt idx="1">
                    <c:v>161</c:v>
                  </c:pt>
                  <c:pt idx="2">
                    <c:v>200</c:v>
                  </c:pt>
                </c:lvl>
              </c:multiLvlStrCache>
            </c:multiLvlStrRef>
          </c:cat>
          <c:val>
            <c:numRef>
              <c:f>'14'!$B$39:$B$44</c:f>
              <c:numCache>
                <c:formatCode>0.00000000000</c:formatCode>
                <c:ptCount val="3"/>
                <c:pt idx="0">
                  <c:v>6.4999999999999994E-5</c:v>
                </c:pt>
                <c:pt idx="1">
                  <c:v>6.5523000000000003E-5</c:v>
                </c:pt>
                <c:pt idx="2">
                  <c:v>5.5954436273550516E-5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89A-4DF9-90BF-925346FA7DB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435516912"/>
        <c:axId val="-435516368"/>
      </c:barChart>
      <c:catAx>
        <c:axId val="-435516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435516368"/>
        <c:crosses val="autoZero"/>
        <c:auto val="1"/>
        <c:lblAlgn val="ctr"/>
        <c:lblOffset val="100"/>
        <c:noMultiLvlLbl val="1"/>
      </c:catAx>
      <c:valAx>
        <c:axId val="-435516368"/>
        <c:scaling>
          <c:orientation val="minMax"/>
          <c:max val="8.0000000000000034E-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g CO2/J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000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435516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Data val="1"/>
      </c14:pivotOptions>
    </c:ext>
  </c:extLs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pivotSource>
    <c:name>[S2 Meta-Analysis of Fuels.xlsx]15!PivotTable4</c:name>
    <c:fmtId val="14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CNG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'15'!$B$38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'15'!$A$39:$A$50</c:f>
              <c:multiLvlStrCache>
                <c:ptCount val="6"/>
                <c:lvl>
                  <c:pt idx="0">
                    <c:v>Thomas Heinze; Claudiu Butnar; Well-to-Wheel Analysen von Gasfahrzeugen. Seite 8</c:v>
                  </c:pt>
                  <c:pt idx="1">
                    <c:v>TREMOD [IFEU 2012]</c:v>
                  </c:pt>
                  <c:pt idx="2">
                    <c:v>Wolfram Knörr; Christoph Heidt; Sabine Gores; Fabian Bergk (2016): Aktualisierung „Daten- und Rechenmodell: Energieverbrauch und Schadstoffemissionen des motorisierten Verkehrs in Deutschland 1960-2035“ (TREMOD) für die Emissionsberichterstattung 2016 (Ber</c:v>
                  </c:pt>
                  <c:pt idx="3">
                    <c:v>Klimaschutz-Allianz Hannover: C02-Emissionsfaktoren</c:v>
                  </c:pt>
                  <c:pt idx="4">
                    <c:v>Jurich, Kristina (2016): CO2-Emissionsfaktoren für fossile Brennstoffe. S.44</c:v>
                  </c:pt>
                  <c:pt idx="5">
                    <c:v>Michael Memmler, Thomas Lauf, Katharina Wolf, Sven Schneider. Emissionsbilanz erneuerbarer Energieträger. S.136</c:v>
                  </c:pt>
                </c:lvl>
                <c:lvl>
                  <c:pt idx="0">
                    <c:v>26</c:v>
                  </c:pt>
                  <c:pt idx="1">
                    <c:v>27</c:v>
                  </c:pt>
                  <c:pt idx="2">
                    <c:v>160</c:v>
                  </c:pt>
                  <c:pt idx="3">
                    <c:v>238</c:v>
                  </c:pt>
                  <c:pt idx="4">
                    <c:v>245</c:v>
                  </c:pt>
                  <c:pt idx="5">
                    <c:v>254</c:v>
                  </c:pt>
                </c:lvl>
              </c:multiLvlStrCache>
            </c:multiLvlStrRef>
          </c:cat>
          <c:val>
            <c:numRef>
              <c:f>'15'!$B$39:$B$50</c:f>
              <c:numCache>
                <c:formatCode>0.00000000000</c:formatCode>
                <c:ptCount val="6"/>
                <c:pt idx="0">
                  <c:v>5.8399999999999997E-5</c:v>
                </c:pt>
                <c:pt idx="1">
                  <c:v>5.5999999999999999E-5</c:v>
                </c:pt>
                <c:pt idx="2">
                  <c:v>5.5943999999999998E-5</c:v>
                </c:pt>
                <c:pt idx="3">
                  <c:v>5.5999999999999999E-5</c:v>
                </c:pt>
                <c:pt idx="4">
                  <c:v>5.5600000000000003E-5</c:v>
                </c:pt>
                <c:pt idx="5">
                  <c:v>5.5999999999999999E-5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89A-4DF9-90BF-925346FA7DB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435515824"/>
        <c:axId val="-435513104"/>
      </c:barChart>
      <c:catAx>
        <c:axId val="-43551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435513104"/>
        <c:crosses val="autoZero"/>
        <c:auto val="1"/>
        <c:lblAlgn val="ctr"/>
        <c:lblOffset val="100"/>
        <c:noMultiLvlLbl val="1"/>
      </c:catAx>
      <c:valAx>
        <c:axId val="-435513104"/>
        <c:scaling>
          <c:orientation val="minMax"/>
          <c:max val="8.0000000000000034E-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g CO2/J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000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435515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Data val="1"/>
      </c14:pivotOptions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pivotSource>
    <c:name>[S2 Meta-Analysis of Fuels.xlsx]5!PivotTable5</c:name>
    <c:fmtId val="16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petrol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numFmt formatCode="#,##0.0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'5'!$B$38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'5'!$A$39:$A$60</c:f>
              <c:multiLvlStrCache>
                <c:ptCount val="11"/>
                <c:lvl>
                  <c:pt idx="0">
                    <c:v>Thomas Heinze; Claudiu Butnar; Well-to-Wheel Analysen von Gasfahrzeugen. Seite 8</c:v>
                  </c:pt>
                  <c:pt idx="1">
                    <c:v>Edwards, R.; Larivé, J.-F.; Rickeard, D.; Weindorf, W. Well-to-Tank Report Version 4.a. S.84</c:v>
                  </c:pt>
                  <c:pt idx="2">
                    <c:v>Jang, Jae Jun; Song, Han Ho. Well-to-wheel analysis on greenhouse gas emission and energy use with petroleum-based fuels in Korea: gasoline and diesel. S.1112</c:v>
                  </c:pt>
                  <c:pt idx="3">
                    <c:v>Michael Memmler, Thomas Lauf, Katharina Wolf, Sven Schneider (2017): Emissionsbilanz erneuerbarer Energieträger. Bestimmung der vermiedenen Emissionen im Jahr 2016. Hg. v. UBA (ISSN 1862-4359).</c:v>
                  </c:pt>
                  <c:pt idx="4">
                    <c:v>FahrKLang. S.25</c:v>
                  </c:pt>
                  <c:pt idx="5">
                    <c:v>Klimaschutz-Allianz Hannover: C02-Emissionsfaktoren</c:v>
                  </c:pt>
                  <c:pt idx="6">
                    <c:v>Hussain, Mohammed M.; Dincer, I. Electric and Hybrid Vehicles. S.281</c:v>
                  </c:pt>
                  <c:pt idx="7">
                    <c:v>WAGNER, U.; ECKL, R.; TZSCHEUTSCHLER, P. Energetic life cycle assessment of fuel cell powertrain systems and alternative fuels in Germany. S.3072</c:v>
                  </c:pt>
                  <c:pt idx="8">
                    <c:v>FahrKLang. S.25</c:v>
                  </c:pt>
                  <c:pt idx="9">
                    <c:v>Helms, Hinrich.; Julius Jöhrens; Jan Hanusch; Ulrich Höpfner; Udo Lambrecht; Martin Pehnt. UMBRELA. S.77</c:v>
                  </c:pt>
                  <c:pt idx="10">
                    <c:v>Michael Memmler, Thomas Lauf, Katharina Wolf, Sven Schneider. Emissionsbilanz erneuerbarer Energieträger. S.131</c:v>
                  </c:pt>
                </c:lvl>
                <c:lvl>
                  <c:pt idx="0">
                    <c:v>18</c:v>
                  </c:pt>
                  <c:pt idx="1">
                    <c:v>39</c:v>
                  </c:pt>
                  <c:pt idx="2">
                    <c:v>136</c:v>
                  </c:pt>
                  <c:pt idx="3">
                    <c:v>142</c:v>
                  </c:pt>
                  <c:pt idx="4">
                    <c:v>186</c:v>
                  </c:pt>
                  <c:pt idx="5">
                    <c:v>194</c:v>
                  </c:pt>
                  <c:pt idx="6">
                    <c:v>202</c:v>
                  </c:pt>
                  <c:pt idx="7">
                    <c:v>210</c:v>
                  </c:pt>
                  <c:pt idx="8">
                    <c:v>236</c:v>
                  </c:pt>
                  <c:pt idx="9">
                    <c:v>239</c:v>
                  </c:pt>
                  <c:pt idx="10">
                    <c:v>248</c:v>
                  </c:pt>
                </c:lvl>
              </c:multiLvlStrCache>
            </c:multiLvlStrRef>
          </c:cat>
          <c:val>
            <c:numRef>
              <c:f>'5'!$B$39:$B$60</c:f>
              <c:numCache>
                <c:formatCode>General</c:formatCode>
                <c:ptCount val="11"/>
                <c:pt idx="0">
                  <c:v>0.53721666666666668</c:v>
                </c:pt>
                <c:pt idx="1">
                  <c:v>0.59308720000000004</c:v>
                </c:pt>
                <c:pt idx="2">
                  <c:v>0.52862120000000001</c:v>
                </c:pt>
                <c:pt idx="3">
                  <c:v>0.50295418148148152</c:v>
                </c:pt>
                <c:pt idx="4">
                  <c:v>0.76329000000000002</c:v>
                </c:pt>
                <c:pt idx="5">
                  <c:v>0.85608856088560892</c:v>
                </c:pt>
                <c:pt idx="6">
                  <c:v>0.7177214666666667</c:v>
                </c:pt>
                <c:pt idx="7">
                  <c:v>0.57394943019943023</c:v>
                </c:pt>
                <c:pt idx="8">
                  <c:v>0.81499999999999995</c:v>
                </c:pt>
                <c:pt idx="9">
                  <c:v>0.77359199999999995</c:v>
                </c:pt>
                <c:pt idx="10">
                  <c:v>0.50295418148148152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DCB-42F2-88D8-1E756796A6D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595261936"/>
        <c:axId val="-595261392"/>
      </c:barChart>
      <c:catAx>
        <c:axId val="-595261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595261392"/>
        <c:crosses val="autoZero"/>
        <c:auto val="1"/>
        <c:lblAlgn val="ctr"/>
        <c:lblOffset val="100"/>
        <c:noMultiLvlLbl val="1"/>
      </c:catAx>
      <c:valAx>
        <c:axId val="-595261392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kg CO2/ kg fuel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595261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Data val="1"/>
      </c14:pivotOptions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pivotSource>
    <c:name>[S2 Meta-Analysis of Fuels.xlsx]6!PivotTable3</c:name>
    <c:fmtId val="18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diesel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numFmt formatCode="#,##0.0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numFmt formatCode="#,##0.0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numFmt formatCode="#,##0.0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'6'!$B$38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'6'!$A$39:$A$60</c:f>
              <c:multiLvlStrCache>
                <c:ptCount val="11"/>
                <c:lvl>
                  <c:pt idx="0">
                    <c:v>Hurtig, Oliver. Alternative fuels from forest residues for passenger cars - an assessment under German framework conditions. S.4</c:v>
                  </c:pt>
                  <c:pt idx="1">
                    <c:v>Edwards, R.; Larivé, J.-F.; Rickeard, D.; Weindorf, W. Well-to-Tank Report Version 4.a. S.84</c:v>
                  </c:pt>
                  <c:pt idx="2">
                    <c:v>Jang, Jae Jun; Song, Han Ho. Well-to-wheel analysis on greenhouse gas emission and energy use with petroleum-based fuels in Korea: gasoline and diesel. S.1112</c:v>
                  </c:pt>
                  <c:pt idx="3">
                    <c:v>W. Siebenpfeiffer. A high-efficiency lean-burn mono-fuel heavy-duty natural gas engine for achieving Euro VI emissions legislation and beyond. S.4</c:v>
                  </c:pt>
                  <c:pt idx="4">
                    <c:v>FahrKLang. S.25</c:v>
                  </c:pt>
                  <c:pt idx="5">
                    <c:v>Klimaschutz-Allianz Hannover: C02-Emissionsfaktoren</c:v>
                  </c:pt>
                  <c:pt idx="6">
                    <c:v>WAGNER, U.; ECKL, R.; TZSCHEUTSCHLER, P. Energetic life cycle assessment of fuel cell powertrain systems and alternative fuels in Germany. S.3072</c:v>
                  </c:pt>
                  <c:pt idx="7">
                    <c:v>FahrKLang. S.25</c:v>
                  </c:pt>
                  <c:pt idx="8">
                    <c:v>Helms, Hinrich.; Julius Jöhrens; Jan Hanusch; Ulrich Höpfner; Udo Lambrecht; Martin Pehnt. UMBRELA. S.77</c:v>
                  </c:pt>
                  <c:pt idx="9">
                    <c:v>Michael Memmler, Thomas Lauf, Katharina Wolf, Sven Schneider. Emissionsbilanz erneuerbarer Energieträger. S.133</c:v>
                  </c:pt>
                  <c:pt idx="10">
                    <c:v>European Commission DG ENER. STUDY ON ACTUAL GHG DATA FOR DIESEL, PETROL, KEROSENE AND NATURAL GAS. S.313</c:v>
                  </c:pt>
                </c:lvl>
                <c:lvl>
                  <c:pt idx="0">
                    <c:v>35</c:v>
                  </c:pt>
                  <c:pt idx="1">
                    <c:v>38</c:v>
                  </c:pt>
                  <c:pt idx="2">
                    <c:v>137</c:v>
                  </c:pt>
                  <c:pt idx="3">
                    <c:v>168</c:v>
                  </c:pt>
                  <c:pt idx="4">
                    <c:v>187</c:v>
                  </c:pt>
                  <c:pt idx="5">
                    <c:v>195</c:v>
                  </c:pt>
                  <c:pt idx="6">
                    <c:v>211</c:v>
                  </c:pt>
                  <c:pt idx="7">
                    <c:v>237</c:v>
                  </c:pt>
                  <c:pt idx="8">
                    <c:v>240</c:v>
                  </c:pt>
                  <c:pt idx="9">
                    <c:v>250</c:v>
                  </c:pt>
                  <c:pt idx="10">
                    <c:v>261</c:v>
                  </c:pt>
                </c:lvl>
              </c:multiLvlStrCache>
            </c:multiLvlStrRef>
          </c:cat>
          <c:val>
            <c:numRef>
              <c:f>'6'!$B$39:$B$60</c:f>
              <c:numCache>
                <c:formatCode>General</c:formatCode>
                <c:ptCount val="11"/>
                <c:pt idx="0">
                  <c:v>0.58374999999999999</c:v>
                </c:pt>
                <c:pt idx="1">
                  <c:v>0.66105355555555556</c:v>
                </c:pt>
                <c:pt idx="2">
                  <c:v>0.48505877777777778</c:v>
                </c:pt>
                <c:pt idx="3">
                  <c:v>0.75119722222222229</c:v>
                </c:pt>
                <c:pt idx="4">
                  <c:v>0.54484999999999995</c:v>
                </c:pt>
                <c:pt idx="5">
                  <c:v>0.55913978494623662</c:v>
                </c:pt>
                <c:pt idx="6">
                  <c:v>0.48668430335097002</c:v>
                </c:pt>
                <c:pt idx="7">
                  <c:v>0.59</c:v>
                </c:pt>
                <c:pt idx="8">
                  <c:v>0.51510666666666671</c:v>
                </c:pt>
                <c:pt idx="9">
                  <c:v>0.41661636419753079</c:v>
                </c:pt>
                <c:pt idx="10">
                  <c:v>0.74690466666666655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89A-4DF9-90BF-925346FA7DB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595258128"/>
        <c:axId val="-595260304"/>
      </c:barChart>
      <c:catAx>
        <c:axId val="-595258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595260304"/>
        <c:crosses val="autoZero"/>
        <c:auto val="1"/>
        <c:lblAlgn val="ctr"/>
        <c:lblOffset val="100"/>
        <c:noMultiLvlLbl val="1"/>
      </c:catAx>
      <c:valAx>
        <c:axId val="-59526030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kg CO2/ kg fuel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595258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Data val="1"/>
      </c14:pivotOptions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pivotSource>
    <c:name>[S2 Meta-Analysis of Fuels.xlsx]7!PivotTable2</c:name>
    <c:fmtId val="1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LPG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numFmt formatCode="#,##0.0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numFmt formatCode="#,##0.0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numFmt formatCode="#,##0.0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'7'!$B$38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'7'!$A$39:$A$42</c:f>
              <c:multiLvlStrCache>
                <c:ptCount val="2"/>
                <c:lvl>
                  <c:pt idx="0">
                    <c:v>Heidt, C.; Lambrecht, U.; Hardinghaus, M: CNG und LPG - Potenziale dieser Energieträger auf dem Weg zu einer nachhaltigeren Energieversorgung des Straßenverkehrs</c:v>
                  </c:pt>
                  <c:pt idx="1">
                    <c:v>Edwards, R.; Larivé, J.-F.; Rickeard, D.; Weindorf, W. Well-to-Tank Report Version 4.a. S.92</c:v>
                  </c:pt>
                </c:lvl>
                <c:lvl>
                  <c:pt idx="0">
                    <c:v>29</c:v>
                  </c:pt>
                  <c:pt idx="1">
                    <c:v>48</c:v>
                  </c:pt>
                </c:lvl>
              </c:multiLvlStrCache>
            </c:multiLvlStrRef>
          </c:cat>
          <c:val>
            <c:numRef>
              <c:f>'7'!$B$39:$B$42</c:f>
              <c:numCache>
                <c:formatCode>General</c:formatCode>
                <c:ptCount val="2"/>
                <c:pt idx="0">
                  <c:v>0.63739725861401475</c:v>
                </c:pt>
                <c:pt idx="1">
                  <c:v>0.36791840000000003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89A-4DF9-90BF-925346FA7DB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595254320"/>
        <c:axId val="-595253776"/>
      </c:barChart>
      <c:catAx>
        <c:axId val="-59525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595253776"/>
        <c:crosses val="autoZero"/>
        <c:auto val="1"/>
        <c:lblAlgn val="ctr"/>
        <c:lblOffset val="100"/>
        <c:noMultiLvlLbl val="1"/>
      </c:catAx>
      <c:valAx>
        <c:axId val="-59525377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kg CO2/ kg fuel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595254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Data val="1"/>
      </c14:pivotOptions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pivotSource>
    <c:name>[S2 Meta-Analysis of Fuels.xlsx]8!PivotTable8</c:name>
    <c:fmtId val="1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CNG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numFmt formatCode="#,##0.0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numFmt formatCode="#,##0.0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numFmt formatCode="#,##0.0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'8'!$B$38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'8'!$A$39:$A$76</c:f>
              <c:multiLvlStrCache>
                <c:ptCount val="19"/>
                <c:lvl>
                  <c:pt idx="0">
                    <c:v>Thomas Heinze; Claudiu Butnar; Well-to-Wheel Analysen von Gasfahrzeugen. Seite 9</c:v>
                  </c:pt>
                  <c:pt idx="1">
                    <c:v>Heidt, C.; Lambrecht, U.; Hardinghaus, M: CNG und LPG - Potenziale dieser Energieträger auf dem Weg zu einer nachhaltigeren Energieversorgung des Straßenverkehrs</c:v>
                  </c:pt>
                  <c:pt idx="2">
                    <c:v>Hurtig, Oliver. Alternative fuels from forest residues for passenger cars - an assessment under German framework conditions. S.4</c:v>
                  </c:pt>
                  <c:pt idx="3">
                    <c:v>Edwards, R.; Larivé, J.-F.; Rickeard, D.; Weindorf, W. Well-to-Tank Report Version 4.a. S.87</c:v>
                  </c:pt>
                  <c:pt idx="4">
                    <c:v>Edwards, R.; Larivé, J.-F.; Rickeard, D.; Weindorf, W. Well-to-Tank Report Version 4.a. S.87</c:v>
                  </c:pt>
                  <c:pt idx="5">
                    <c:v>Edwards, R.; Larivé, J.-F.; Rickeard, D.; Weindorf, W. Well-to-Tank Report Version 4.a. S.87</c:v>
                  </c:pt>
                  <c:pt idx="6">
                    <c:v>Edwards, R.; Larivé, J.-F.; Rickeard, D.; Weindorf, W. Well-to-Tank Report Version 4.a. S.87</c:v>
                  </c:pt>
                  <c:pt idx="7">
                    <c:v>Edwards, R.; Larivé, J.-F.; Rickeard, D.; Weindorf, W. Well-to-Tank Report Version 4.a. S.87</c:v>
                  </c:pt>
                  <c:pt idx="8">
                    <c:v>Edwards, R.; Larivé, J.-F.; Rickeard, D.; Weindorf, W. Well-to-Tank Report Version 4.a. S.87</c:v>
                  </c:pt>
                  <c:pt idx="9">
                    <c:v>Edwards, R.; Larivé, J.-F.; Rickeard, D.; Weindorf, W. Well-to-Tank Report Version 4.a. S.87</c:v>
                  </c:pt>
                  <c:pt idx="10">
                    <c:v>W. Siebenpfeiffer
W. Siebenpfeiffer. A high-efficiency lean-burn mono-fuel heavy-duty natural gas engine for achieving Euro VI emissions legislation and beyond. S.4</c:v>
                  </c:pt>
                  <c:pt idx="11">
                    <c:v>W. Siebenpfeiffer
W. Siebenpfeiffer. A high-efficiency lean-burn mono-fuel heavy-duty natural gas engine for achieving Euro VI emissions legislation and beyond. S.4</c:v>
                  </c:pt>
                  <c:pt idx="12">
                    <c:v>W. Siebenpfeiffer
W. Siebenpfeiffer. A high-efficiency lean-burn mono-fuel heavy-duty natural gas engine for achieving Euro VI emissions legislation and beyond. S.4</c:v>
                  </c:pt>
                  <c:pt idx="13">
                    <c:v>W. Siebenpfeiffer
W. Siebenpfeiffer. A high-efficiency lean-burn mono-fuel heavy-duty natural gas engine for achieving Euro VI emissions legislation and beyond. S.4</c:v>
                  </c:pt>
                  <c:pt idx="14">
                    <c:v>WAGNER, U.; ECKL, R.; TZSCHEUTSCHLER, P. Energetic life cycle assessment of fuel cell powertrain systems and alternative fuels in Germany. S.3072</c:v>
                  </c:pt>
                  <c:pt idx="15">
                    <c:v>Michael Memmler, Thomas Lauf, Katharina Wolf, Sven Schneider. Emissionsbilanz erneuerbarer Energieträger. S.136</c:v>
                  </c:pt>
                  <c:pt idx="16">
                    <c:v>European Commission DG ENER. STUDY ON ACTUAL GHG DATA FOR DIESEL, PETROL, KEROSENE AND NATURAL GAS. S.465</c:v>
                  </c:pt>
                  <c:pt idx="17">
                    <c:v>European Commission DG ENER. STUDY ON ACTUAL GHG DATA FOR DIESEL, PETROL, KEROSENE AND NATURAL GAS. S.465</c:v>
                  </c:pt>
                  <c:pt idx="18">
                    <c:v>European Commission DG ENER. STUDY ON ACTUAL GHG DATA FOR DIESEL, PETROL, KEROSENE AND NATURAL GAS. S.465</c:v>
                  </c:pt>
                </c:lvl>
                <c:lvl>
                  <c:pt idx="0">
                    <c:v>19</c:v>
                  </c:pt>
                  <c:pt idx="1">
                    <c:v>28</c:v>
                  </c:pt>
                  <c:pt idx="2">
                    <c:v>36</c:v>
                  </c:pt>
                  <c:pt idx="3">
                    <c:v>40</c:v>
                  </c:pt>
                  <c:pt idx="4">
                    <c:v>41</c:v>
                  </c:pt>
                  <c:pt idx="5">
                    <c:v>42</c:v>
                  </c:pt>
                  <c:pt idx="6">
                    <c:v>43</c:v>
                  </c:pt>
                  <c:pt idx="7">
                    <c:v>44</c:v>
                  </c:pt>
                  <c:pt idx="8">
                    <c:v>45</c:v>
                  </c:pt>
                  <c:pt idx="9">
                    <c:v>46</c:v>
                  </c:pt>
                  <c:pt idx="10">
                    <c:v>164</c:v>
                  </c:pt>
                  <c:pt idx="11">
                    <c:v>165</c:v>
                  </c:pt>
                  <c:pt idx="12">
                    <c:v>166</c:v>
                  </c:pt>
                  <c:pt idx="13">
                    <c:v>167</c:v>
                  </c:pt>
                  <c:pt idx="14">
                    <c:v>212</c:v>
                  </c:pt>
                  <c:pt idx="15">
                    <c:v>253</c:v>
                  </c:pt>
                  <c:pt idx="16">
                    <c:v>262</c:v>
                  </c:pt>
                  <c:pt idx="17">
                    <c:v>263</c:v>
                  </c:pt>
                  <c:pt idx="18">
                    <c:v>264</c:v>
                  </c:pt>
                </c:lvl>
              </c:multiLvlStrCache>
            </c:multiLvlStrRef>
          </c:cat>
          <c:val>
            <c:numRef>
              <c:f>'8'!$B$39:$B$76</c:f>
              <c:numCache>
                <c:formatCode>General</c:formatCode>
                <c:ptCount val="19"/>
                <c:pt idx="0">
                  <c:v>0.66972900361617482</c:v>
                </c:pt>
                <c:pt idx="1">
                  <c:v>0.79905598362481545</c:v>
                </c:pt>
                <c:pt idx="2">
                  <c:v>0.48333333333333334</c:v>
                </c:pt>
                <c:pt idx="3">
                  <c:v>0.60044669289726016</c:v>
                </c:pt>
                <c:pt idx="4">
                  <c:v>1.0392346607837195</c:v>
                </c:pt>
                <c:pt idx="5">
                  <c:v>0.73901131433508949</c:v>
                </c:pt>
                <c:pt idx="6">
                  <c:v>0.96995235006480496</c:v>
                </c:pt>
                <c:pt idx="7">
                  <c:v>0.83138772862697552</c:v>
                </c:pt>
                <c:pt idx="8">
                  <c:v>0.96995235006480496</c:v>
                </c:pt>
                <c:pt idx="9">
                  <c:v>0.8775759357729187</c:v>
                </c:pt>
                <c:pt idx="10">
                  <c:v>0.57735258932428868</c:v>
                </c:pt>
                <c:pt idx="11">
                  <c:v>0.85448183219994711</c:v>
                </c:pt>
                <c:pt idx="12">
                  <c:v>1.2932698000864065</c:v>
                </c:pt>
                <c:pt idx="13">
                  <c:v>0.8775759357729187</c:v>
                </c:pt>
                <c:pt idx="14">
                  <c:v>0.57022477957954432</c:v>
                </c:pt>
                <c:pt idx="15">
                  <c:v>0.62123138611293449</c:v>
                </c:pt>
                <c:pt idx="16">
                  <c:v>0.59809109433281704</c:v>
                </c:pt>
                <c:pt idx="17">
                  <c:v>0.7020607486183349</c:v>
                </c:pt>
                <c:pt idx="18">
                  <c:v>0.97512542926515045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89A-4DF9-90BF-925346FA7DB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595252144"/>
        <c:axId val="-799501840"/>
      </c:barChart>
      <c:catAx>
        <c:axId val="-595252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799501840"/>
        <c:crosses val="autoZero"/>
        <c:auto val="1"/>
        <c:lblAlgn val="ctr"/>
        <c:lblOffset val="100"/>
        <c:noMultiLvlLbl val="1"/>
      </c:catAx>
      <c:valAx>
        <c:axId val="-79950184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kg CO2/ kg fuel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595252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Data val="1"/>
      </c14:pivotOptions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pivotSource>
    <c:name>[S2 Meta-Analysis of Fuels.xlsx]9!PivotTable7</c:name>
    <c:fmtId val="1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Bioethanol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numFmt formatCode="#,##0.0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numFmt formatCode="#,##0.0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numFmt formatCode="#,##0.0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'9'!$B$38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'9'!$A$39:$A$84</c:f>
              <c:multiLvlStrCache>
                <c:ptCount val="22"/>
                <c:lvl>
                  <c:pt idx="0">
                    <c:v>Edwards, R.; Larivé, J.-F.; Rickeard, D.; Weindorf, W. Well-to-Tank Report Version 4.a. S.99</c:v>
                  </c:pt>
                  <c:pt idx="1">
                    <c:v>Edwards, R.; Larivé, J.-F.; Rickeard, D.; Weindorf, W. Well-to-Tank Report Version 4.a. S.99</c:v>
                  </c:pt>
                  <c:pt idx="2">
                    <c:v>Edwards, R.; Larivé, J.-F.; Rickeard, D.; Weindorf, W. Well-to-Tank Report Version 4.a. S.99</c:v>
                  </c:pt>
                  <c:pt idx="3">
                    <c:v>Edwards, R.; Larivé, J.-F.; Rickeard, D.; Weindorf, W. Well-to-Tank Report Version 4.a. S.99</c:v>
                  </c:pt>
                  <c:pt idx="4">
                    <c:v>Edwards, R.; Larivé, J.-F.; Rickeard, D.; Weindorf, W. Well-to-Tank Report Version 4.a. S.99</c:v>
                  </c:pt>
                  <c:pt idx="5">
                    <c:v>Edwards, R.; Larivé, J.-F.; Rickeard, D.; Weindorf, W. Well-to-Tank Report Version 4.a. S.99</c:v>
                  </c:pt>
                  <c:pt idx="6">
                    <c:v>Edwards, R.; Larivé, J.-F.; Rickeard, D.; Weindorf, W. Well-to-Tank Report Version 4.a. S.99</c:v>
                  </c:pt>
                  <c:pt idx="7">
                    <c:v>Edwards, R.; Larivé, J.-F.; Rickeard, D.; Weindorf, W. Well-to-Tank Report Version 4.a. S.99</c:v>
                  </c:pt>
                  <c:pt idx="8">
                    <c:v>Edwards, R.; Larivé, J.-F.; Rickeard, D.; Weindorf, W. Well-to-Tank Report Version 4.a. S.99</c:v>
                  </c:pt>
                  <c:pt idx="9">
                    <c:v>Edwards, R.; Larivé, J.-F.; Rickeard, D.; Weindorf, W. Well-to-Tank Report Version 4.a. S.99</c:v>
                  </c:pt>
                  <c:pt idx="10">
                    <c:v>Edwards, R.; Larivé, J.-F.; Rickeard, D.; Weindorf, W. Well-to-Tank Report Version 4.a. S.99</c:v>
                  </c:pt>
                  <c:pt idx="11">
                    <c:v>Edwards, R.; Larivé, J.-F.; Rickeard, D.; Weindorf, W. Well-to-Tank Report Version 4.a. S.99</c:v>
                  </c:pt>
                  <c:pt idx="12">
                    <c:v>Edwards, R.; Larivé, J.-F.; Rickeard, D.; Weindorf, W. Well-to-Tank Report Version 4.a. S.99</c:v>
                  </c:pt>
                  <c:pt idx="13">
                    <c:v>Edwards, R.; Larivé, J.-F.; Rickeard, D.; Weindorf, W. Well-to-Tank Report Version 4.a. S.99</c:v>
                  </c:pt>
                  <c:pt idx="14">
                    <c:v>Edwards, R.; Larivé, J.-F.; Rickeard, D.; Weindorf, W. Well-to-Tank Report Version 4.a. S.99</c:v>
                  </c:pt>
                  <c:pt idx="15">
                    <c:v>DBFZ (2015)</c:v>
                  </c:pt>
                  <c:pt idx="16">
                    <c:v>Klimaschutz-Allianz Hannover: C02-Emissionsfaktoren</c:v>
                  </c:pt>
                  <c:pt idx="17">
                    <c:v>Michael Memmler, Thomas Lauf, Katharina Wolf, Sven Schneider. Emissionsbilanz erneuerbarer Energieträger. S.129</c:v>
                  </c:pt>
                  <c:pt idx="18">
                    <c:v>Edwards, R.; Larivé, J.-F.; Rickeard, D.; Weindorf, W. Well-to-Tank Report Version 4.a. S.99</c:v>
                  </c:pt>
                  <c:pt idx="19">
                    <c:v>Edwards, R.; Larivé, J.-F.; Rickeard, D.; Weindorf, W. Well-to-Tank Report Version 4.a. S.99</c:v>
                  </c:pt>
                  <c:pt idx="20">
                    <c:v>Edwards, R.; Larivé, J.-F.; Rickeard, D.; Weindorf, W. Well-to-Tank Report Version 4.a. S.99</c:v>
                  </c:pt>
                  <c:pt idx="21">
                    <c:v>Edwards, R.; Larivé, J.-F.; Rickeard, D.; Weindorf, W. Well-to-Tank Report Version 4.a. S.99</c:v>
                  </c:pt>
                </c:lvl>
                <c:lvl>
                  <c:pt idx="0">
                    <c:v>49</c:v>
                  </c:pt>
                  <c:pt idx="1">
                    <c:v>50</c:v>
                  </c:pt>
                  <c:pt idx="2">
                    <c:v>51</c:v>
                  </c:pt>
                  <c:pt idx="3">
                    <c:v>52</c:v>
                  </c:pt>
                  <c:pt idx="4">
                    <c:v>53</c:v>
                  </c:pt>
                  <c:pt idx="5">
                    <c:v>54</c:v>
                  </c:pt>
                  <c:pt idx="6">
                    <c:v>55</c:v>
                  </c:pt>
                  <c:pt idx="7">
                    <c:v>56</c:v>
                  </c:pt>
                  <c:pt idx="8">
                    <c:v>57</c:v>
                  </c:pt>
                  <c:pt idx="9">
                    <c:v>58</c:v>
                  </c:pt>
                  <c:pt idx="10">
                    <c:v>59</c:v>
                  </c:pt>
                  <c:pt idx="11">
                    <c:v>60</c:v>
                  </c:pt>
                  <c:pt idx="12">
                    <c:v>61</c:v>
                  </c:pt>
                  <c:pt idx="13">
                    <c:v>62</c:v>
                  </c:pt>
                  <c:pt idx="14">
                    <c:v>63</c:v>
                  </c:pt>
                  <c:pt idx="15">
                    <c:v>192</c:v>
                  </c:pt>
                  <c:pt idx="16">
                    <c:v>196</c:v>
                  </c:pt>
                  <c:pt idx="17">
                    <c:v>247</c:v>
                  </c:pt>
                  <c:pt idx="18">
                    <c:v>64</c:v>
                  </c:pt>
                  <c:pt idx="19">
                    <c:v>65</c:v>
                  </c:pt>
                  <c:pt idx="20">
                    <c:v>66</c:v>
                  </c:pt>
                  <c:pt idx="21">
                    <c:v>67</c:v>
                  </c:pt>
                </c:lvl>
                <c:lvl>
                  <c:pt idx="0">
                    <c:v>neutral</c:v>
                  </c:pt>
                  <c:pt idx="18">
                    <c:v>optimistic</c:v>
                  </c:pt>
                </c:lvl>
              </c:multiLvlStrCache>
            </c:multiLvlStrRef>
          </c:cat>
          <c:val>
            <c:numRef>
              <c:f>'9'!$B$39:$B$84</c:f>
              <c:numCache>
                <c:formatCode>General</c:formatCode>
                <c:ptCount val="22"/>
                <c:pt idx="0">
                  <c:v>1.0715000000000001</c:v>
                </c:pt>
                <c:pt idx="1">
                  <c:v>0.6696875000000001</c:v>
                </c:pt>
                <c:pt idx="2">
                  <c:v>0.58932499999999999</c:v>
                </c:pt>
                <c:pt idx="3">
                  <c:v>1.8751250000000004</c:v>
                </c:pt>
                <c:pt idx="4">
                  <c:v>1.5536750000000001</c:v>
                </c:pt>
                <c:pt idx="5">
                  <c:v>1.6876125000000002</c:v>
                </c:pt>
                <c:pt idx="6">
                  <c:v>1.4733125</c:v>
                </c:pt>
                <c:pt idx="7">
                  <c:v>2.2769375000000003</c:v>
                </c:pt>
                <c:pt idx="8">
                  <c:v>2.0090625000000002</c:v>
                </c:pt>
                <c:pt idx="9">
                  <c:v>1.4197375000000001</c:v>
                </c:pt>
                <c:pt idx="10">
                  <c:v>1.4197375000000001</c:v>
                </c:pt>
                <c:pt idx="11">
                  <c:v>1.4197375000000001</c:v>
                </c:pt>
                <c:pt idx="12">
                  <c:v>2.0090625000000002</c:v>
                </c:pt>
                <c:pt idx="13">
                  <c:v>2.1430000000000002</c:v>
                </c:pt>
                <c:pt idx="14">
                  <c:v>1.8483375000000002</c:v>
                </c:pt>
                <c:pt idx="15">
                  <c:v>1.05297</c:v>
                </c:pt>
                <c:pt idx="16">
                  <c:v>0.96732638888888889</c:v>
                </c:pt>
                <c:pt idx="17">
                  <c:v>0.6530737436805556</c:v>
                </c:pt>
                <c:pt idx="18">
                  <c:v>0.72326250000000003</c:v>
                </c:pt>
                <c:pt idx="19">
                  <c:v>0.58932499999999999</c:v>
                </c:pt>
                <c:pt idx="20">
                  <c:v>0.50896249999999998</c:v>
                </c:pt>
                <c:pt idx="21">
                  <c:v>0.24108749999999998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89A-4DF9-90BF-925346FA7DB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435514736"/>
        <c:axId val="-435503312"/>
      </c:barChart>
      <c:catAx>
        <c:axId val="-435514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435503312"/>
        <c:crosses val="autoZero"/>
        <c:auto val="1"/>
        <c:lblAlgn val="ctr"/>
        <c:lblOffset val="100"/>
        <c:noMultiLvlLbl val="0"/>
      </c:catAx>
      <c:valAx>
        <c:axId val="-43550331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kg CO2/ kg fuel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435514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Data val="1"/>
      </c14:pivotOptions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pivotSource>
    <c:name>[S2 Meta-Analysis of Fuels.xlsx]10!PivotTable6</c:name>
    <c:fmtId val="1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Biodiesel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numFmt formatCode="#,##0.0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numFmt formatCode="#,##0.0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numFmt formatCode="#,##0.0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'10'!$B$38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'10'!$A$39:$A$84</c:f>
              <c:multiLvlStrCache>
                <c:ptCount val="22"/>
                <c:lvl>
                  <c:pt idx="0">
                    <c:v>Edwards, R.; Larivé, J.-F.; Rickeard, D.; Weindorf, W. Well-to-Tank Report Version 4.a. S.102</c:v>
                  </c:pt>
                  <c:pt idx="1">
                    <c:v>Edwards, R.; Larivé, J.-F.; Rickeard, D.; Weindorf, W. Well-to-Tank Report Version 4.a. S.102</c:v>
                  </c:pt>
                  <c:pt idx="2">
                    <c:v>Edwards, R.; Larivé, J.-F.; Rickeard, D.; Weindorf, W. Well-to-Tank Report Version 4.a. S.102</c:v>
                  </c:pt>
                  <c:pt idx="3">
                    <c:v>Edwards, R.; Larivé, J.-F.; Rickeard, D.; Weindorf, W. Well-to-Tank Report Version 4.a. S.102</c:v>
                  </c:pt>
                  <c:pt idx="4">
                    <c:v>Edwards, R.; Larivé, J.-F.; Rickeard, D.; Weindorf, W. Well-to-Tank Report Version 4.a. S.102</c:v>
                  </c:pt>
                  <c:pt idx="5">
                    <c:v>Edwards, R.; Larivé, J.-F.; Rickeard, D.; Weindorf, W. Well-to-Tank Report Version 4.a. S.102</c:v>
                  </c:pt>
                  <c:pt idx="6">
                    <c:v>Edwards, R.; Larivé, J.-F.; Rickeard, D.; Weindorf, W. Well-to-Tank Report Version 4.a. S.102</c:v>
                  </c:pt>
                  <c:pt idx="7">
                    <c:v>Edwards, R.; Larivé, J.-F.; Rickeard, D.; Weindorf, W. Well-to-Tank Report Version 4.a. S.102</c:v>
                  </c:pt>
                  <c:pt idx="8">
                    <c:v>Edwards, R.; Larivé, J.-F.; Rickeard, D.; Weindorf, W. Well-to-Tank Report Version 4.a. S.102</c:v>
                  </c:pt>
                  <c:pt idx="9">
                    <c:v>Edwards, R.; Larivé, J.-F.; Rickeard, D.; Weindorf, W. Well-to-Tank Report Version 4.a. S.102</c:v>
                  </c:pt>
                  <c:pt idx="10">
                    <c:v>Edwards, R.; Larivé, J.-F.; Rickeard, D.; Weindorf, W. Well-to-Tank Report Version 4.a. S.102</c:v>
                  </c:pt>
                  <c:pt idx="11">
                    <c:v>Edwards, R.; Larivé, J.-F.; Rickeard, D.; Weindorf, W. Well-to-Tank Report Version 4.a. S.102</c:v>
                  </c:pt>
                  <c:pt idx="12">
                    <c:v>Edwards, R.; Larivé, J.-F.; Rickeard, D.; Weindorf, W. Well-to-Tank Report Version 4.a. S.102</c:v>
                  </c:pt>
                  <c:pt idx="13">
                    <c:v>DBFZ (2015)</c:v>
                  </c:pt>
                  <c:pt idx="14">
                    <c:v>Klimaschutz-Allianz Hannover: C02-Emissionsfaktoren</c:v>
                  </c:pt>
                  <c:pt idx="15">
                    <c:v>Helms, Hinrich.; Julius Jöhrens; Jan Hanusch; Ulrich Höpfner; Udo Lambrecht; Martin Pehnt. UMBRELA. S.77</c:v>
                  </c:pt>
                  <c:pt idx="16">
                    <c:v>Helms, Hinrich.; Julius Jöhrens; Jan Hanusch; Ulrich Höpfner; Udo Lambrecht; Martin Pehnt. UMBRELA. Abb.44</c:v>
                  </c:pt>
                  <c:pt idx="17">
                    <c:v>Helms, Hinrich.; Julius Jöhrens; Jan Hanusch; Ulrich Höpfner; Udo Lambrecht; Martin Pehnt. UMBRELA. Abb.44</c:v>
                  </c:pt>
                  <c:pt idx="18">
                    <c:v>Helms, Hinrich.; Julius Jöhrens; Jan Hanusch; Ulrich Höpfner; Udo Lambrecht; Martin Pehnt. UMBRELA. Abb.44</c:v>
                  </c:pt>
                  <c:pt idx="19">
                    <c:v>Michael Memmler, Thomas Lauf, Katharina Wolf, Sven Schneider. Emissionsbilanz erneuerbarer Energieträger. S.125</c:v>
                  </c:pt>
                  <c:pt idx="20">
                    <c:v>Edwards, R.; Larivé, J.-F.; Rickeard, D.; Weindorf, W. Well-to-Tank Report Version 4.a. S.102</c:v>
                  </c:pt>
                  <c:pt idx="21">
                    <c:v>Edwards, R.; Larivé, J.-F.; Rickeard, D.; Weindorf, W. Well-to-Tank Report Version 4.a. S.102</c:v>
                  </c:pt>
                </c:lvl>
                <c:lvl>
                  <c:pt idx="0">
                    <c:v>68</c:v>
                  </c:pt>
                  <c:pt idx="1">
                    <c:v>69</c:v>
                  </c:pt>
                  <c:pt idx="2">
                    <c:v>70</c:v>
                  </c:pt>
                  <c:pt idx="3">
                    <c:v>71</c:v>
                  </c:pt>
                  <c:pt idx="4">
                    <c:v>72</c:v>
                  </c:pt>
                  <c:pt idx="5">
                    <c:v>73</c:v>
                  </c:pt>
                  <c:pt idx="6">
                    <c:v>74</c:v>
                  </c:pt>
                  <c:pt idx="7">
                    <c:v>75</c:v>
                  </c:pt>
                  <c:pt idx="8">
                    <c:v>76</c:v>
                  </c:pt>
                  <c:pt idx="9">
                    <c:v>77</c:v>
                  </c:pt>
                  <c:pt idx="10">
                    <c:v>78</c:v>
                  </c:pt>
                  <c:pt idx="11">
                    <c:v>79</c:v>
                  </c:pt>
                  <c:pt idx="12">
                    <c:v>80</c:v>
                  </c:pt>
                  <c:pt idx="13">
                    <c:v>193</c:v>
                  </c:pt>
                  <c:pt idx="14">
                    <c:v>197</c:v>
                  </c:pt>
                  <c:pt idx="15">
                    <c:v>241</c:v>
                  </c:pt>
                  <c:pt idx="16">
                    <c:v>242</c:v>
                  </c:pt>
                  <c:pt idx="17">
                    <c:v>243</c:v>
                  </c:pt>
                  <c:pt idx="18">
                    <c:v>244</c:v>
                  </c:pt>
                  <c:pt idx="19">
                    <c:v>246</c:v>
                  </c:pt>
                  <c:pt idx="20">
                    <c:v>81</c:v>
                  </c:pt>
                  <c:pt idx="21">
                    <c:v>82</c:v>
                  </c:pt>
                </c:lvl>
                <c:lvl>
                  <c:pt idx="0">
                    <c:v>neutral</c:v>
                  </c:pt>
                  <c:pt idx="20">
                    <c:v>optimistic</c:v>
                  </c:pt>
                </c:lvl>
              </c:multiLvlStrCache>
            </c:multiLvlStrRef>
          </c:cat>
          <c:val>
            <c:numRef>
              <c:f>'10'!$B$39:$B$84</c:f>
              <c:numCache>
                <c:formatCode>General</c:formatCode>
                <c:ptCount val="22"/>
                <c:pt idx="0">
                  <c:v>2.2345199999999998</c:v>
                </c:pt>
                <c:pt idx="1">
                  <c:v>2.2345199999999998</c:v>
                </c:pt>
                <c:pt idx="2">
                  <c:v>2.2345199999999998</c:v>
                </c:pt>
                <c:pt idx="3">
                  <c:v>2.2345199999999998</c:v>
                </c:pt>
                <c:pt idx="4">
                  <c:v>2.2345199999999998</c:v>
                </c:pt>
                <c:pt idx="5">
                  <c:v>2.0483099999999999</c:v>
                </c:pt>
                <c:pt idx="6">
                  <c:v>1.6758899999999999</c:v>
                </c:pt>
                <c:pt idx="7">
                  <c:v>2.6069400000000003</c:v>
                </c:pt>
                <c:pt idx="8">
                  <c:v>3.0538439999999998</c:v>
                </c:pt>
                <c:pt idx="9">
                  <c:v>2.7931499999999998</c:v>
                </c:pt>
                <c:pt idx="10">
                  <c:v>1.8620999999999999</c:v>
                </c:pt>
                <c:pt idx="11">
                  <c:v>1.4896799999999999</c:v>
                </c:pt>
                <c:pt idx="12">
                  <c:v>2.3090039999999998</c:v>
                </c:pt>
                <c:pt idx="13">
                  <c:v>1.58406</c:v>
                </c:pt>
                <c:pt idx="14">
                  <c:v>1.5517499999999997</c:v>
                </c:pt>
                <c:pt idx="15">
                  <c:v>2.1600359999999998</c:v>
                </c:pt>
                <c:pt idx="16">
                  <c:v>1.9365839999999999</c:v>
                </c:pt>
                <c:pt idx="17">
                  <c:v>1.4896799999999999</c:v>
                </c:pt>
                <c:pt idx="18">
                  <c:v>0.74483999999999995</c:v>
                </c:pt>
                <c:pt idx="19">
                  <c:v>1.1882267</c:v>
                </c:pt>
                <c:pt idx="20">
                  <c:v>0.55862999999999996</c:v>
                </c:pt>
                <c:pt idx="21">
                  <c:v>0.93104999999999993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89A-4DF9-90BF-925346FA7DB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435504944"/>
        <c:axId val="-435507120"/>
      </c:barChart>
      <c:catAx>
        <c:axId val="-435504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435507120"/>
        <c:crosses val="autoZero"/>
        <c:auto val="1"/>
        <c:lblAlgn val="ctr"/>
        <c:lblOffset val="100"/>
        <c:noMultiLvlLbl val="0"/>
      </c:catAx>
      <c:valAx>
        <c:axId val="-43550712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kg CO2/ kg fuel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435504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Data val="1"/>
      </c14:pivotOptions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pivotSource>
    <c:name>[S2 Meta-Analysis of Fuels.xlsx]11!PivotTable1</c:name>
    <c:fmtId val="1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hydrogen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numFmt formatCode="#,##0.0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numFmt formatCode="#,##0.0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numFmt formatCode="#,##0.0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'11'!$B$38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'11'!$A$39:$A$161</c:f>
              <c:multiLvlStrCache>
                <c:ptCount val="60"/>
                <c:lvl>
                  <c:pt idx="0">
                    <c:v>GRANOVSKII, M.; Dincer, I.; ROSEN, M. Life cycle assessment of hydrogen fuel cell and gasoline vehicles. S.350</c:v>
                  </c:pt>
                  <c:pt idx="1">
                    <c:v>GRANOVSKII, M.; Dincer, I.; ROSEN, M. Life cycle assessment of hydrogen fuel cell and gasoline vehicles. S.350</c:v>
                  </c:pt>
                  <c:pt idx="2">
                    <c:v>Hacatoglu, Kevork; Rosen, Marc A.; Dincer, Ibrahim. Comparative life cycle assessment of hydrogen and other selected fuels. S.9938</c:v>
                  </c:pt>
                  <c:pt idx="3">
                    <c:v>Hacatoglu, Kevork; Rosen, Marc A.; Dincer, Ibrahim. Comparative life cycle assessment of hydrogen and other selected fuels. S.9938</c:v>
                  </c:pt>
                  <c:pt idx="4">
                    <c:v>Edwards, R.; Larivé, J.-F.; Rickeard, D.; Weindorf, W. Well-to-Tank Report Version 4.a. S.132</c:v>
                  </c:pt>
                  <c:pt idx="5">
                    <c:v>Edwards, R.; Larivé, J.-F.; Rickeard, D.; Weindorf, W. Well-to-Tank Report Version 4.a. S.132</c:v>
                  </c:pt>
                  <c:pt idx="6">
                    <c:v>Edwards, R.; Larivé, J.-F.; Rickeard, D.; Weindorf, W. Well-to-Tank Report Version 4.a. S.132</c:v>
                  </c:pt>
                  <c:pt idx="7">
                    <c:v>Edwards, R.; Larivé, J.-F.; Rickeard, D.; Weindorf, W. Well-to-Tank Report Version 4.a. S.132</c:v>
                  </c:pt>
                  <c:pt idx="8">
                    <c:v>Edwards, R.; Larivé, J.-F.; Rickeard, D.; Weindorf, W. Well-to-Tank Report Version 4.a. S.132</c:v>
                  </c:pt>
                  <c:pt idx="9">
                    <c:v>Edwards, R.; Larivé, J.-F.; Rickeard, D.; Weindorf, W. Well-to-Tank Report Version 4.a. S.134</c:v>
                  </c:pt>
                  <c:pt idx="10">
                    <c:v>Edwards, R.; Larivé, J.-F.; Rickeard, D.; Weindorf, W. Well-to-Tank Report Version 4.a. S.134</c:v>
                  </c:pt>
                  <c:pt idx="11">
                    <c:v>Edwards, R.; Larivé, J.-F.; Rickeard, D.; Weindorf, W. Well-to-Tank Report Version 4.a. S.134</c:v>
                  </c:pt>
                  <c:pt idx="12">
                    <c:v>Ahmadi, Pouria; Kjeang, Erik. Comparative life cycle assessment of hydrogen fuel cell passenger vehicles in different Canadian provinces. S12913</c:v>
                  </c:pt>
                  <c:pt idx="13">
                    <c:v>Bareiß, Kay; La Rua, Cristina de; Möckl, Maximilian; Hamacher, Thomas. Life cycle assessment of hydrogen from proton exchange membrane water electrolysis in future energy systems. S.1</c:v>
                  </c:pt>
                  <c:pt idx="14">
                    <c:v>SCHAFER, A.; HEYWOOD, J.; WEISS, M. Future fuel cell and internal combustion engine automobile technologies: A 25-year life cycle and fleet impact assessment. 2067</c:v>
                  </c:pt>
                  <c:pt idx="15">
                    <c:v>WAGNER, U.; ECKL, R.; TZSCHEUTSCHLER, P. Energetic life cycle assessment of fuel cell powertrain systems and alternative fuels in Germany. S.3072</c:v>
                  </c:pt>
                  <c:pt idx="16">
                    <c:v>WAGNER, U.; ECKL, R.; TZSCHEUTSCHLER, P. Energetic life cycle assessment of fuel cell powertrain systems and alternative fuels in Germany. S.3072</c:v>
                  </c:pt>
                  <c:pt idx="17">
                    <c:v>WAGNER, U.; ECKL, R.; TZSCHEUTSCHLER, P. Energetic life cycle assessment of fuel cell powertrain systems and alternative fuels in Germany. S.3072</c:v>
                  </c:pt>
                  <c:pt idx="18">
                    <c:v>Walker, Sean B.; Fowler, Michael; Ahmadi, Leila. Comparative life cycle assessment of power-to-gas generation of hydrogen with a dynamic emissions factor for fuel cell vehicles. S.68</c:v>
                  </c:pt>
                  <c:pt idx="19">
                    <c:v>Walker, Sean B.; Fowler, Michael; Ahmadi, Leila. Comparative life cycle assessment of power-to-gas generation of hydrogen with a dynamic emissions factor for fuel cell vehicles. S.68</c:v>
                  </c:pt>
                  <c:pt idx="20">
                    <c:v>KORONEOS, C. Life cycle assessment of hydrogen fuel production processes. S.1447</c:v>
                  </c:pt>
                  <c:pt idx="21">
                    <c:v>KORONEOS, C. Life cycle assessment of hydrogen fuel production processes. S.1447</c:v>
                  </c:pt>
                  <c:pt idx="22">
                    <c:v>KORONEOS, C. Life cycle assessment of hydrogen fuel production processes. S.1447</c:v>
                  </c:pt>
                  <c:pt idx="23">
                    <c:v>KORONEOS, C. Life cycle assessment of hydrogen fuel production processes. S.1447</c:v>
                  </c:pt>
                  <c:pt idx="24">
                    <c:v>KORONEOS, C. Life cycle assessment of hydrogen fuel production processes. S.1447</c:v>
                  </c:pt>
                  <c:pt idx="25">
                    <c:v>GRANOVSKII, M.; Dincer, I.; ROSEN, M. Life cycle assessment of hydrogen fuel cell and gasoline vehicles. S.350</c:v>
                  </c:pt>
                  <c:pt idx="26">
                    <c:v>Hacatoglu, Kevork; Rosen, Marc A.; Dincer, Ibrahim. Comparative life cycle assessment of hydrogen and other selected fuels. S.9938</c:v>
                  </c:pt>
                  <c:pt idx="27">
                    <c:v>Hussain, M. M.; Dincer, I.; Li, X. A preliminary life cycle assessment of PEM fuel cell powered automobiles. S2297</c:v>
                  </c:pt>
                  <c:pt idx="28">
                    <c:v>Edwards, R.; Larivé, J.-F.; Rickeard, D.; Weindorf, W. Well-to-Tank Report Version 4.a. S.129</c:v>
                  </c:pt>
                  <c:pt idx="29">
                    <c:v>Edwards, R.; Larivé, J.-F.; Rickeard, D.; Weindorf, W. Well-to-Tank Report Version 4.a. S.129</c:v>
                  </c:pt>
                  <c:pt idx="30">
                    <c:v>Edwards, R.; Larivé, J.-F.; Rickeard, D.; Weindorf, W. Well-to-Tank Report Version 4.a. S.129</c:v>
                  </c:pt>
                  <c:pt idx="31">
                    <c:v>Edwards, R.; Larivé, J.-F.; Rickeard, D.; Weindorf, W. Well-to-Tank Report Version 4.a. S.129</c:v>
                  </c:pt>
                  <c:pt idx="32">
                    <c:v>Edwards, R.; Larivé, J.-F.; Rickeard, D.; Weindorf, W. Well-to-Tank Report Version 4.a. S.129</c:v>
                  </c:pt>
                  <c:pt idx="33">
                    <c:v>Edwards, R.; Larivé, J.-F.; Rickeard, D.; Weindorf, W. Well-to-Tank Report Version 4.a. S.129</c:v>
                  </c:pt>
                  <c:pt idx="34">
                    <c:v>Edwards, R.; Larivé, J.-F.; Rickeard, D.; Weindorf, W. Well-to-Tank Report Version 4.a. S.129</c:v>
                  </c:pt>
                  <c:pt idx="35">
                    <c:v>Edwards, R.; Larivé, J.-F.; Rickeard, D.; Weindorf, W. Well-to-Tank Report Version 4.a. S.129</c:v>
                  </c:pt>
                  <c:pt idx="36">
                    <c:v>Edwards, R.; Larivé, J.-F.; Rickeard, D.; Weindorf, W. Well-to-Tank Report Version 4.a. S.131</c:v>
                  </c:pt>
                  <c:pt idx="37">
                    <c:v>Edwards, R.; Larivé, J.-F.; Rickeard, D.; Weindorf, W. Well-to-Tank Report Version 4.a. S.131</c:v>
                  </c:pt>
                  <c:pt idx="38">
                    <c:v>Edwards, R.; Larivé, J.-F.; Rickeard, D.; Weindorf, W. Well-to-Tank Report Version 4.a. S.131</c:v>
                  </c:pt>
                  <c:pt idx="39">
                    <c:v>Edwards, R.; Larivé, J.-F.; Rickeard, D.; Weindorf, W. Well-to-Tank Report Version 4.a. S.131</c:v>
                  </c:pt>
                  <c:pt idx="40">
                    <c:v>Edwards, R.; Larivé, J.-F.; Rickeard, D.; Weindorf, W. Well-to-Tank Report Version 4.a. S.131</c:v>
                  </c:pt>
                  <c:pt idx="41">
                    <c:v>Edwards, R.; Larivé, J.-F.; Rickeard, D.; Weindorf, W. Well-to-Tank Report Version 4.a. S.131</c:v>
                  </c:pt>
                  <c:pt idx="42">
                    <c:v>Edwards, R.; Larivé, J.-F.; Rickeard, D.; Weindorf, W. Well-to-Tank Report Version 4.a. S.131</c:v>
                  </c:pt>
                  <c:pt idx="43">
                    <c:v>Edwards, R.; Larivé, J.-F.; Rickeard, D.; Weindorf, W. Well-to-Tank Report Version 4.a. S.131</c:v>
                  </c:pt>
                  <c:pt idx="44">
                    <c:v>Edwards, R.; Larivé, J.-F.; Rickeard, D.; Weindorf, W. Well-to-Tank Report Version 4.a. S.132</c:v>
                  </c:pt>
                  <c:pt idx="45">
                    <c:v>Edwards, R.; Larivé, J.-F.; Rickeard, D.; Weindorf, W. Well-to-Tank Report Version 4.a. S.134</c:v>
                  </c:pt>
                  <c:pt idx="46">
                    <c:v>Edwards, R.; Larivé, J.-F.; Rickeard, D.; Weindorf, W. Well-to-Tank Report Version 4.a. S.134</c:v>
                  </c:pt>
                  <c:pt idx="47">
                    <c:v>Edwards, R.; Larivé, J.-F.; Rickeard, D.; Weindorf, W. Well-to-Tank Report Version 4.a. S.134</c:v>
                  </c:pt>
                  <c:pt idx="48">
                    <c:v>Edwards, R.; Larivé, J.-F.; Rickeard, D.; Weindorf, W. Well-to-Tank Report Version 4.a. S.134</c:v>
                  </c:pt>
                  <c:pt idx="49">
                    <c:v>Edwards, R.; Larivé, J.-F.; Rickeard, D.; Weindorf, W. Well-to-Tank Report Version 4.a. S.134</c:v>
                  </c:pt>
                  <c:pt idx="50">
                    <c:v>Bareiß, Kay; La Rua, Cristina de; Möckl, Maximilian; Hamacher, Thomas. Life cycle assessment of hydrogen from proton exchange membrane water electrolysis in future energy systems. S.1</c:v>
                  </c:pt>
                  <c:pt idx="51">
                    <c:v>Bareiß, Kay; La Rua, Cristina de; Möckl, Maximilian; Hamacher, Thomas. Life cycle assessment of hydrogen from proton exchange membrane water electrolysis in future energy systems. S.1</c:v>
                  </c:pt>
                  <c:pt idx="52">
                    <c:v>Hussain, Mohammed M.; Dincer, I. Electric and Hybrid Vehicles. S.281</c:v>
                  </c:pt>
                  <c:pt idx="53">
                    <c:v>Ribau, João P.; Silva, Carla M.; Sousa, João M.C. Efficiency, cost and life cycle CO2 optimization of fuel cell hybrid and plug-in hybrid urban buses. S.327</c:v>
                  </c:pt>
                  <c:pt idx="54">
                    <c:v>WAGNER, U.; ECKL, R.; TZSCHEUTSCHLER, P. Energetic life cycle assessment of fuel cell powertrain systems and alternative fuels in Germany. S.3072</c:v>
                  </c:pt>
                  <c:pt idx="55">
                    <c:v>Walker, Sean B.; Fowler, Michael; Ahmadi, Leila. Comparative life cycle assessment of power-to-gas generation of hydrogen with a dynamic emissions factor for fuel cell vehicles. S.68</c:v>
                  </c:pt>
                  <c:pt idx="56">
                    <c:v>KORONEOS, C. Life cycle assessment of hydrogen fuel production processes. S.1447</c:v>
                  </c:pt>
                  <c:pt idx="57">
                    <c:v>Edwards, R.; Larivé, J.-F.; Rickeard, D.; Weindorf, W. Well-to-Tank Report Version 4.a. S.132</c:v>
                  </c:pt>
                  <c:pt idx="58">
                    <c:v>Edwards, R.; Larivé, J.-F.; Rickeard, D.; Weindorf, W. Well-to-Tank Report Version 4.a. S.134</c:v>
                  </c:pt>
                  <c:pt idx="59">
                    <c:v>Ahmadi, Pouria; Kjeang, Erik. Comparative life cycle assessment of hydrogen fuel cell passenger vehicles in different Canadian provinces. S12913</c:v>
                  </c:pt>
                </c:lvl>
                <c:lvl>
                  <c:pt idx="0">
                    <c:v>7</c:v>
                  </c:pt>
                  <c:pt idx="1">
                    <c:v>8</c:v>
                  </c:pt>
                  <c:pt idx="2">
                    <c:v>10</c:v>
                  </c:pt>
                  <c:pt idx="3">
                    <c:v>11</c:v>
                  </c:pt>
                  <c:pt idx="4">
                    <c:v>118</c:v>
                  </c:pt>
                  <c:pt idx="5">
                    <c:v>119</c:v>
                  </c:pt>
                  <c:pt idx="6">
                    <c:v>120</c:v>
                  </c:pt>
                  <c:pt idx="7">
                    <c:v>121</c:v>
                  </c:pt>
                  <c:pt idx="8">
                    <c:v>122</c:v>
                  </c:pt>
                  <c:pt idx="9">
                    <c:v>127</c:v>
                  </c:pt>
                  <c:pt idx="10">
                    <c:v>128</c:v>
                  </c:pt>
                  <c:pt idx="11">
                    <c:v>131</c:v>
                  </c:pt>
                  <c:pt idx="12">
                    <c:v>138</c:v>
                  </c:pt>
                  <c:pt idx="13">
                    <c:v>191</c:v>
                  </c:pt>
                  <c:pt idx="14">
                    <c:v>204</c:v>
                  </c:pt>
                  <c:pt idx="15">
                    <c:v>214</c:v>
                  </c:pt>
                  <c:pt idx="16">
                    <c:v>215</c:v>
                  </c:pt>
                  <c:pt idx="17">
                    <c:v>216</c:v>
                  </c:pt>
                  <c:pt idx="18">
                    <c:v>217</c:v>
                  </c:pt>
                  <c:pt idx="19">
                    <c:v>218</c:v>
                  </c:pt>
                  <c:pt idx="20">
                    <c:v>255</c:v>
                  </c:pt>
                  <c:pt idx="21">
                    <c:v>256</c:v>
                  </c:pt>
                  <c:pt idx="22">
                    <c:v>257</c:v>
                  </c:pt>
                  <c:pt idx="23">
                    <c:v>258</c:v>
                  </c:pt>
                  <c:pt idx="24">
                    <c:v>259</c:v>
                  </c:pt>
                  <c:pt idx="25">
                    <c:v>6</c:v>
                  </c:pt>
                  <c:pt idx="26">
                    <c:v>9</c:v>
                  </c:pt>
                  <c:pt idx="27">
                    <c:v>17</c:v>
                  </c:pt>
                  <c:pt idx="28">
                    <c:v>100</c:v>
                  </c:pt>
                  <c:pt idx="29">
                    <c:v>101</c:v>
                  </c:pt>
                  <c:pt idx="30">
                    <c:v>102</c:v>
                  </c:pt>
                  <c:pt idx="31">
                    <c:v>103</c:v>
                  </c:pt>
                  <c:pt idx="32">
                    <c:v>104</c:v>
                  </c:pt>
                  <c:pt idx="33">
                    <c:v>105</c:v>
                  </c:pt>
                  <c:pt idx="34">
                    <c:v>106</c:v>
                  </c:pt>
                  <c:pt idx="35">
                    <c:v>107</c:v>
                  </c:pt>
                  <c:pt idx="36">
                    <c:v>108</c:v>
                  </c:pt>
                  <c:pt idx="37">
                    <c:v>109</c:v>
                  </c:pt>
                  <c:pt idx="38">
                    <c:v>110</c:v>
                  </c:pt>
                  <c:pt idx="39">
                    <c:v>111</c:v>
                  </c:pt>
                  <c:pt idx="40">
                    <c:v>112</c:v>
                  </c:pt>
                  <c:pt idx="41">
                    <c:v>113</c:v>
                  </c:pt>
                  <c:pt idx="42">
                    <c:v>114</c:v>
                  </c:pt>
                  <c:pt idx="43">
                    <c:v>115</c:v>
                  </c:pt>
                  <c:pt idx="44">
                    <c:v>116</c:v>
                  </c:pt>
                  <c:pt idx="45">
                    <c:v>123</c:v>
                  </c:pt>
                  <c:pt idx="46">
                    <c:v>124</c:v>
                  </c:pt>
                  <c:pt idx="47">
                    <c:v>125</c:v>
                  </c:pt>
                  <c:pt idx="48">
                    <c:v>126</c:v>
                  </c:pt>
                  <c:pt idx="49">
                    <c:v>129</c:v>
                  </c:pt>
                  <c:pt idx="50">
                    <c:v>189</c:v>
                  </c:pt>
                  <c:pt idx="51">
                    <c:v>190</c:v>
                  </c:pt>
                  <c:pt idx="52">
                    <c:v>201</c:v>
                  </c:pt>
                  <c:pt idx="53">
                    <c:v>203</c:v>
                  </c:pt>
                  <c:pt idx="54">
                    <c:v>213</c:v>
                  </c:pt>
                  <c:pt idx="55">
                    <c:v>219</c:v>
                  </c:pt>
                  <c:pt idx="56">
                    <c:v>260</c:v>
                  </c:pt>
                  <c:pt idx="57">
                    <c:v>117</c:v>
                  </c:pt>
                  <c:pt idx="58">
                    <c:v>130</c:v>
                  </c:pt>
                  <c:pt idx="59">
                    <c:v>139</c:v>
                  </c:pt>
                </c:lvl>
                <c:lvl>
                  <c:pt idx="0">
                    <c:v>optimistic</c:v>
                  </c:pt>
                  <c:pt idx="25">
                    <c:v>neutral</c:v>
                  </c:pt>
                  <c:pt idx="57">
                    <c:v>pessimistic</c:v>
                  </c:pt>
                </c:lvl>
              </c:multiLvlStrCache>
            </c:multiLvlStrRef>
          </c:cat>
          <c:val>
            <c:numRef>
              <c:f>'11'!$B$39:$B$161</c:f>
              <c:numCache>
                <c:formatCode>0.0</c:formatCode>
                <c:ptCount val="60"/>
                <c:pt idx="0">
                  <c:v>2.4060000000000001</c:v>
                </c:pt>
                <c:pt idx="1">
                  <c:v>3.609</c:v>
                </c:pt>
                <c:pt idx="2">
                  <c:v>2.4060000000000001</c:v>
                </c:pt>
                <c:pt idx="3">
                  <c:v>3.609</c:v>
                </c:pt>
                <c:pt idx="4">
                  <c:v>2.1654</c:v>
                </c:pt>
                <c:pt idx="5">
                  <c:v>2.1654</c:v>
                </c:pt>
                <c:pt idx="6">
                  <c:v>1.8045</c:v>
                </c:pt>
                <c:pt idx="7">
                  <c:v>1.9248000000000001</c:v>
                </c:pt>
                <c:pt idx="8">
                  <c:v>1.8045</c:v>
                </c:pt>
                <c:pt idx="9">
                  <c:v>3.0075000000000003</c:v>
                </c:pt>
                <c:pt idx="10">
                  <c:v>2.4060000000000001</c:v>
                </c:pt>
                <c:pt idx="11">
                  <c:v>1.4436</c:v>
                </c:pt>
                <c:pt idx="12">
                  <c:v>1.2544000000000002</c:v>
                </c:pt>
                <c:pt idx="13">
                  <c:v>3</c:v>
                </c:pt>
                <c:pt idx="14">
                  <c:v>4.3308</c:v>
                </c:pt>
                <c:pt idx="15">
                  <c:v>11.138888888888888</c:v>
                </c:pt>
                <c:pt idx="16">
                  <c:v>1.6708333333333332</c:v>
                </c:pt>
                <c:pt idx="17">
                  <c:v>2.2277777777777779</c:v>
                </c:pt>
                <c:pt idx="18">
                  <c:v>5.1728999999999994</c:v>
                </c:pt>
                <c:pt idx="19">
                  <c:v>3.7292999999999998</c:v>
                </c:pt>
                <c:pt idx="20">
                  <c:v>5.5337999999999994</c:v>
                </c:pt>
                <c:pt idx="21">
                  <c:v>2.4060000000000001</c:v>
                </c:pt>
                <c:pt idx="22">
                  <c:v>1.0827</c:v>
                </c:pt>
                <c:pt idx="23">
                  <c:v>2.0451000000000001</c:v>
                </c:pt>
                <c:pt idx="24">
                  <c:v>2.8872</c:v>
                </c:pt>
                <c:pt idx="25">
                  <c:v>10.2255</c:v>
                </c:pt>
                <c:pt idx="26">
                  <c:v>10.2255</c:v>
                </c:pt>
                <c:pt idx="27">
                  <c:v>15.8796</c:v>
                </c:pt>
                <c:pt idx="28">
                  <c:v>15.2781</c:v>
                </c:pt>
                <c:pt idx="29">
                  <c:v>14.195399999999999</c:v>
                </c:pt>
                <c:pt idx="30">
                  <c:v>12.511199999999999</c:v>
                </c:pt>
                <c:pt idx="31">
                  <c:v>13.1127</c:v>
                </c:pt>
                <c:pt idx="32">
                  <c:v>16.240500000000001</c:v>
                </c:pt>
                <c:pt idx="33">
                  <c:v>15.0375</c:v>
                </c:pt>
                <c:pt idx="34">
                  <c:v>13.473599999999999</c:v>
                </c:pt>
                <c:pt idx="35">
                  <c:v>14.195399999999999</c:v>
                </c:pt>
                <c:pt idx="36">
                  <c:v>15.2781</c:v>
                </c:pt>
                <c:pt idx="37">
                  <c:v>14.195399999999999</c:v>
                </c:pt>
                <c:pt idx="38">
                  <c:v>12.511199999999999</c:v>
                </c:pt>
                <c:pt idx="39">
                  <c:v>13.1127</c:v>
                </c:pt>
                <c:pt idx="40">
                  <c:v>16.240500000000001</c:v>
                </c:pt>
                <c:pt idx="41">
                  <c:v>15.0375</c:v>
                </c:pt>
                <c:pt idx="42">
                  <c:v>13.473599999999999</c:v>
                </c:pt>
                <c:pt idx="43">
                  <c:v>14.195399999999999</c:v>
                </c:pt>
                <c:pt idx="44">
                  <c:v>12.631499999999999</c:v>
                </c:pt>
                <c:pt idx="45">
                  <c:v>12.511199999999999</c:v>
                </c:pt>
                <c:pt idx="46">
                  <c:v>24.541199999999996</c:v>
                </c:pt>
                <c:pt idx="47">
                  <c:v>24.060000000000002</c:v>
                </c:pt>
                <c:pt idx="48">
                  <c:v>26.466000000000001</c:v>
                </c:pt>
                <c:pt idx="49">
                  <c:v>27.067499999999999</c:v>
                </c:pt>
                <c:pt idx="50">
                  <c:v>29.5</c:v>
                </c:pt>
                <c:pt idx="51">
                  <c:v>11.6</c:v>
                </c:pt>
                <c:pt idx="52">
                  <c:v>15.8796</c:v>
                </c:pt>
                <c:pt idx="53">
                  <c:v>8.3557973999999984</c:v>
                </c:pt>
                <c:pt idx="54">
                  <c:v>17.265277777777776</c:v>
                </c:pt>
                <c:pt idx="55">
                  <c:v>7.218</c:v>
                </c:pt>
                <c:pt idx="56">
                  <c:v>10.466099999999999</c:v>
                </c:pt>
                <c:pt idx="57">
                  <c:v>28.631399999999999</c:v>
                </c:pt>
                <c:pt idx="58">
                  <c:v>48.962099999999992</c:v>
                </c:pt>
                <c:pt idx="59">
                  <c:v>48.607999999999997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89A-4DF9-90BF-925346FA7DB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435508208"/>
        <c:axId val="-435502224"/>
      </c:barChart>
      <c:catAx>
        <c:axId val="-435508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435502224"/>
        <c:crosses val="autoZero"/>
        <c:auto val="1"/>
        <c:lblAlgn val="ctr"/>
        <c:lblOffset val="100"/>
        <c:noMultiLvlLbl val="0"/>
      </c:catAx>
      <c:valAx>
        <c:axId val="-43550222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kg CO2/ kg fuel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435508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Data val="1"/>
      </c14:pivotOptions>
    </c:ext>
  </c:extLs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pivotSource>
    <c:name>[S2 Meta-Analysis of Fuels.xlsx]12!PivotTable3</c:name>
    <c:fmtId val="2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petrol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'12'!$B$38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'12'!$A$39:$A$50</c:f>
              <c:multiLvlStrCache>
                <c:ptCount val="6"/>
                <c:lvl>
                  <c:pt idx="0">
                    <c:v>Thomas Heinze; Claudiu Butnar; Well-to-Wheel Analysen von Gasfahrzeugen. Seite 7</c:v>
                  </c:pt>
                  <c:pt idx="1">
                    <c:v>Jurich, Kristina (2016): CO2-Emissionsfaktoren für fossile Brennstoffe. Hg. v. UBA, zuletzt geprüft am 23.01.2019.</c:v>
                  </c:pt>
                  <c:pt idx="2">
                    <c:v>Wolfram Knörr; Christoph Heidt; Sabine Gores; Fabian Bergk (2016): Aktualisierung „Daten- und Rechenmodell: Energieverbrauch und Schadstoffemissionen des motorisierten Verkehrs in Deutschland 1960-2035“ (TREMOD) für die Emissionsberichterstattung 2016 (Ber</c:v>
                  </c:pt>
                  <c:pt idx="3">
                    <c:v>Michael Memmler, Thomas Lauf, Katharina Wolf, Sven Schneider (2017): Emissionsbilanz erneuerbarer Energieträger. Bestimmung der vermiedenen Emissionen im Jahr 2016. Hg. v. UBA (ISSN 1862-4359).</c:v>
                  </c:pt>
                  <c:pt idx="4">
                    <c:v>Klimaschutz-Allianz Hannover: C02-Emissionsfaktoren</c:v>
                  </c:pt>
                  <c:pt idx="5">
                    <c:v>Michael Memmler, Thomas Lauf, Katharina Wolf, Sven Schneider. Emissionsbilanz erneuerbarer Energieträger. S.132</c:v>
                  </c:pt>
                </c:lvl>
                <c:lvl>
                  <c:pt idx="0">
                    <c:v>25</c:v>
                  </c:pt>
                  <c:pt idx="1">
                    <c:v>155</c:v>
                  </c:pt>
                  <c:pt idx="2">
                    <c:v>158</c:v>
                  </c:pt>
                  <c:pt idx="3">
                    <c:v>174</c:v>
                  </c:pt>
                  <c:pt idx="4">
                    <c:v>198</c:v>
                  </c:pt>
                  <c:pt idx="5">
                    <c:v>249</c:v>
                  </c:pt>
                </c:lvl>
              </c:multiLvlStrCache>
            </c:multiLvlStrRef>
          </c:cat>
          <c:val>
            <c:numRef>
              <c:f>'12'!$B$39:$B$50</c:f>
              <c:numCache>
                <c:formatCode>0.000000000</c:formatCode>
                <c:ptCount val="6"/>
                <c:pt idx="0">
                  <c:v>7.25E-5</c:v>
                </c:pt>
                <c:pt idx="1">
                  <c:v>7.3099999999999988E-5</c:v>
                </c:pt>
                <c:pt idx="2">
                  <c:v>7.3090999999999995E-5</c:v>
                </c:pt>
                <c:pt idx="3">
                  <c:v>7.2000000000000002E-5</c:v>
                </c:pt>
                <c:pt idx="4">
                  <c:v>7.3159607818509481E-5</c:v>
                </c:pt>
                <c:pt idx="5">
                  <c:v>7.2000000000000002E-5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89A-4DF9-90BF-925346FA7DB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435517456"/>
        <c:axId val="-435506576"/>
      </c:barChart>
      <c:catAx>
        <c:axId val="-435517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435506576"/>
        <c:crosses val="autoZero"/>
        <c:auto val="1"/>
        <c:lblAlgn val="ctr"/>
        <c:lblOffset val="100"/>
        <c:noMultiLvlLbl val="1"/>
      </c:catAx>
      <c:valAx>
        <c:axId val="-435506576"/>
        <c:scaling>
          <c:orientation val="minMax"/>
          <c:max val="8.0000000000000034E-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g CO2/J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000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435517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Data val="1"/>
      </c14:pivotOptions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63500</xdr:colOff>
      <xdr:row>26</xdr:row>
      <xdr:rowOff>137583</xdr:rowOff>
    </xdr:from>
    <xdr:to>
      <xdr:col>6</xdr:col>
      <xdr:colOff>1566332</xdr:colOff>
      <xdr:row>30</xdr:row>
      <xdr:rowOff>143934</xdr:rowOff>
    </xdr:to>
    <xdr:sp macro="" textlink="">
      <xdr:nvSpPr>
        <xdr:cNvPr id="2" name="TextBox 1"/>
        <xdr:cNvSpPr txBox="1"/>
      </xdr:nvSpPr>
      <xdr:spPr>
        <a:xfrm>
          <a:off x="63500" y="5073650"/>
          <a:ext cx="5685365" cy="75141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This Excel</a:t>
          </a:r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sheet is an excerpt of the following Master's Thesis:</a:t>
          </a:r>
          <a:endParaRPr lang="de-DE">
            <a:effectLst/>
          </a:endParaRPr>
        </a:p>
        <a:p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Blat</a:t>
          </a:r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Belmonte, Benjamin. Optimization of the German Vehicle Fleet Transition regarding the Greenhouse Gas Emissions. 2019.	</a:t>
          </a:r>
          <a:endParaRPr lang="de-DE">
            <a:effectLst/>
          </a:endParaRPr>
        </a:p>
        <a:p>
          <a:r>
            <a:rPr lang="de-DE" sz="1100" baseline="0"/>
            <a:t>	</a:t>
          </a:r>
        </a:p>
        <a:p>
          <a:endParaRPr lang="de-DE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101916</xdr:colOff>
      <xdr:row>0</xdr:row>
      <xdr:rowOff>120014</xdr:rowOff>
    </xdr:from>
    <xdr:to>
      <xdr:col>5</xdr:col>
      <xdr:colOff>600075</xdr:colOff>
      <xdr:row>30</xdr:row>
      <xdr:rowOff>33614</xdr:rowOff>
    </xdr:to>
    <xdr:graphicFrame macro="">
      <xdr:nvGraphicFramePr>
        <xdr:cNvPr id="2" name="Diagramm 8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120014</xdr:colOff>
      <xdr:row>0</xdr:row>
      <xdr:rowOff>129540</xdr:rowOff>
    </xdr:from>
    <xdr:to>
      <xdr:col>4</xdr:col>
      <xdr:colOff>238125</xdr:colOff>
      <xdr:row>30</xdr:row>
      <xdr:rowOff>43140</xdr:rowOff>
    </xdr:to>
    <xdr:graphicFrame macro="">
      <xdr:nvGraphicFramePr>
        <xdr:cNvPr id="2" name="Diagramm 9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125730</xdr:colOff>
      <xdr:row>0</xdr:row>
      <xdr:rowOff>83820</xdr:rowOff>
    </xdr:from>
    <xdr:to>
      <xdr:col>2</xdr:col>
      <xdr:colOff>152400</xdr:colOff>
      <xdr:row>29</xdr:row>
      <xdr:rowOff>180300</xdr:rowOff>
    </xdr:to>
    <xdr:graphicFrame macro="">
      <xdr:nvGraphicFramePr>
        <xdr:cNvPr id="2" name="Chart 1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163831</xdr:colOff>
      <xdr:row>0</xdr:row>
      <xdr:rowOff>108584</xdr:rowOff>
    </xdr:from>
    <xdr:to>
      <xdr:col>3</xdr:col>
      <xdr:colOff>485776</xdr:colOff>
      <xdr:row>30</xdr:row>
      <xdr:rowOff>22184</xdr:rowOff>
    </xdr:to>
    <xdr:graphicFrame macro="">
      <xdr:nvGraphicFramePr>
        <xdr:cNvPr id="11" name="Diagramm 10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175260</xdr:colOff>
      <xdr:row>0</xdr:row>
      <xdr:rowOff>152400</xdr:rowOff>
    </xdr:from>
    <xdr:to>
      <xdr:col>9</xdr:col>
      <xdr:colOff>333375</xdr:colOff>
      <xdr:row>30</xdr:row>
      <xdr:rowOff>66000</xdr:rowOff>
    </xdr:to>
    <xdr:graphicFrame macro="">
      <xdr:nvGraphicFramePr>
        <xdr:cNvPr id="2" name="Chart 1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</xdr:colOff>
      <xdr:row>0</xdr:row>
      <xdr:rowOff>106678</xdr:rowOff>
    </xdr:from>
    <xdr:to>
      <xdr:col>4</xdr:col>
      <xdr:colOff>1802685</xdr:colOff>
      <xdr:row>30</xdr:row>
      <xdr:rowOff>20278</xdr:rowOff>
    </xdr:to>
    <xdr:graphicFrame macro="">
      <xdr:nvGraphicFramePr>
        <xdr:cNvPr id="8" name="Diagramm 7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118110</xdr:colOff>
      <xdr:row>0</xdr:row>
      <xdr:rowOff>85724</xdr:rowOff>
    </xdr:from>
    <xdr:to>
      <xdr:col>12</xdr:col>
      <xdr:colOff>448230</xdr:colOff>
      <xdr:row>29</xdr:row>
      <xdr:rowOff>182204</xdr:rowOff>
    </xdr:to>
    <xdr:graphicFrame macro="">
      <xdr:nvGraphicFramePr>
        <xdr:cNvPr id="2" name="Diagramm 8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119060</xdr:colOff>
      <xdr:row>0</xdr:row>
      <xdr:rowOff>99060</xdr:rowOff>
    </xdr:from>
    <xdr:to>
      <xdr:col>1</xdr:col>
      <xdr:colOff>695325</xdr:colOff>
      <xdr:row>30</xdr:row>
      <xdr:rowOff>12660</xdr:rowOff>
    </xdr:to>
    <xdr:graphicFrame macro="">
      <xdr:nvGraphicFramePr>
        <xdr:cNvPr id="2" name="Diagramm 10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263842</xdr:colOff>
      <xdr:row>0</xdr:row>
      <xdr:rowOff>97155</xdr:rowOff>
    </xdr:from>
    <xdr:to>
      <xdr:col>18</xdr:col>
      <xdr:colOff>228600</xdr:colOff>
      <xdr:row>30</xdr:row>
      <xdr:rowOff>10755</xdr:rowOff>
    </xdr:to>
    <xdr:graphicFrame macro="">
      <xdr:nvGraphicFramePr>
        <xdr:cNvPr id="2" name="Diagramm 9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104773</xdr:colOff>
      <xdr:row>0</xdr:row>
      <xdr:rowOff>64769</xdr:rowOff>
    </xdr:from>
    <xdr:to>
      <xdr:col>16</xdr:col>
      <xdr:colOff>581024</xdr:colOff>
      <xdr:row>29</xdr:row>
      <xdr:rowOff>161249</xdr:rowOff>
    </xdr:to>
    <xdr:graphicFrame macro="">
      <xdr:nvGraphicFramePr>
        <xdr:cNvPr id="2" name="Diagramm 11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120013</xdr:rowOff>
    </xdr:from>
    <xdr:to>
      <xdr:col>17</xdr:col>
      <xdr:colOff>514350</xdr:colOff>
      <xdr:row>30</xdr:row>
      <xdr:rowOff>33613</xdr:rowOff>
    </xdr:to>
    <xdr:graphicFrame macro="">
      <xdr:nvGraphicFramePr>
        <xdr:cNvPr id="2" name="Diagramm 12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53340</xdr:rowOff>
    </xdr:from>
    <xdr:to>
      <xdr:col>12</xdr:col>
      <xdr:colOff>257175</xdr:colOff>
      <xdr:row>32</xdr:row>
      <xdr:rowOff>106680</xdr:rowOff>
    </xdr:to>
    <xdr:graphicFrame macro="">
      <xdr:nvGraphicFramePr>
        <xdr:cNvPr id="2" name="Diagramm 13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Metastudie-MaMoCOV-Kraftstoffe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3563.459792476853" createdVersion="6" refreshedVersion="6" minRefreshableVersion="3" recordCount="264">
  <cacheSource type="worksheet">
    <worksheetSource name="Tabelle_alle_Kennzahlen" r:id="rId2"/>
  </cacheSource>
  <cacheFields count="13">
    <cacheField name="Nr." numFmtId="0">
      <sharedItems containsSemiMixedTypes="0" containsString="0" containsNumber="1" containsInteger="1" minValue="1" maxValue="264" count="264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3"/>
        <n v="214"/>
        <n v="215"/>
        <n v="216"/>
        <n v="217"/>
        <n v="218"/>
        <n v="219"/>
        <n v="220"/>
        <n v="221"/>
        <n v="222"/>
        <n v="223"/>
        <n v="224"/>
        <n v="225"/>
        <n v="226"/>
        <n v="227"/>
        <n v="228"/>
        <n v="229"/>
        <n v="230"/>
        <n v="231"/>
        <n v="232"/>
        <n v="233"/>
        <n v="234"/>
        <n v="235"/>
        <n v="236"/>
        <n v="237"/>
        <n v="238"/>
        <n v="239"/>
        <n v="240"/>
        <n v="241"/>
        <n v="242"/>
        <n v="243"/>
        <n v="244"/>
        <n v="245"/>
        <n v="246"/>
        <n v="247"/>
        <n v="248"/>
        <n v="249"/>
        <n v="250"/>
        <n v="251"/>
        <n v="252"/>
        <n v="253"/>
        <n v="254"/>
        <n v="255"/>
        <n v="256"/>
        <n v="257"/>
        <n v="258"/>
        <n v="259"/>
        <n v="260"/>
        <n v="261"/>
        <n v="262"/>
        <n v="263"/>
        <n v="264"/>
      </sharedItems>
    </cacheField>
    <cacheField name="Quelle" numFmtId="0">
      <sharedItems containsBlank="1" count="77" longText="1">
        <s v="Bauer, Dietsche; Kraftfahrttechnisches Taschenbuch Bosch. (2003)"/>
        <s v="GRANOVSKII, M.; Dincer, I.; ROSEN, M. Life cycle assessment of hydrogen fuel cell and gasoline vehicles. S.350"/>
        <s v="Hacatoglu, Kevork; Rosen, Marc A.; Dincer, Ibrahim. Comparative life cycle assessment of hydrogen and other selected fuels. S.9938"/>
        <s v="GRANOVSKII, M.; Dincer, I.; ROSEN, M. Life cycle assessment of hydrogen fuel cell and gasoline vehicles. "/>
        <s v="Hussain, M. M.; Dincer, I.; Li, X. A preliminary life cycle assessment of PEM fuel cell powered automobiles. S2297"/>
        <s v="Thomas Heinze; Claudiu Butnar; Well-to-Wheel Analysen von Gasfahrzeugen. Seite 8"/>
        <s v="Thomas Heinze; Claudiu Butnar; Well-to-Wheel Analysen von Gasfahrzeugen. Seite 9"/>
        <s v="Merker, Günter P.; Schwarz, Christian; Teichmann, Rüdiger. Grundlagen Verbrennungsmotoren. S.772"/>
        <s v="Thomas Heinze; Claudiu Butnar; Well-to-Wheel Analysen von Gasfahrzeugen. Seite 7"/>
        <s v="TREMOD [IFEU 2012]"/>
        <s v="Heidt, C.; Lambrecht, U.; Hardinghaus, M: CNG und LPG - Potenziale dieser Energieträger auf dem Weg zu einer nachhaltigeren Energieversorgung des Straßenverkehrs"/>
        <s v="Sarbjot Singh Sandhu. Single Cylinder SI Engine Operated on Blends of CNG and Hydrogen"/>
        <s v="Getzlaff, Jörn. Erdgas als Kraftstoff für Kfz-Verbrennungsmotoren. S.136"/>
        <s v="Hurtig, Oliver. Alternative fuels from forest residues for passenger cars - an assessment under German framework conditions. S.4"/>
        <s v="Edwards, R.; Larivé, J.-F.; Rickeard, D.; Weindorf, W. Well-to-Tank Report Version 4.a. S.84"/>
        <s v="Edwards, R.; Larivé, J.-F.; Rickeard, D.; Weindorf, W. Well-to-Tank Report Version 4.a. S.87"/>
        <s v="Edwards, R.; Larivé, J.-F.; Rickeard, D.; Weindorf, W. Well-to-Tank Report Version 4.a. S.92"/>
        <s v="Edwards, R.; Larivé, J.-F.; Rickeard, D.; Weindorf, W. Well-to-Tank Report Version 4.a. S.99"/>
        <s v="Edwards, R.; Larivé, J.-F.; Rickeard, D.; Weindorf, W. Well-to-Tank Report Version 4.a. S.102"/>
        <s v="Edwards, R.; Larivé, J.-F.; Rickeard, D.; Weindorf, W. Well-to-Tank Report Version 4.a. S.107"/>
        <s v="Edwards, R.; Larivé, J.-F.; Rickeard, D.; Weindorf, W. Well-to-Tank Report Version 4.a. S.110"/>
        <s v="Edwards, R.; Larivé, J.-F.; Rickeard, D.; Weindorf, W. Well-to-Tank Report Version 4.a. S.112"/>
        <s v="Edwards, R.; Larivé, J.-F.; Rickeard, D.; Weindorf, W. Well-to-Tank Report Version 4.a. S.129"/>
        <s v="Edwards, R.; Larivé, J.-F.; Rickeard, D.; Weindorf, W. Well-to-Tank Report Version 4.a. S.131"/>
        <s v="Edwards, R.; Larivé, J.-F.; Rickeard, D.; Weindorf, W. Well-to-Tank Report Version 4.a. S.132"/>
        <s v="Edwards, R.; Larivé, J.-F.; Rickeard, D.; Weindorf, W. Well-to-Tank Report Version 4.a. S.134"/>
        <s v="Choi, Wonjae; Song, Han Ho. Well-to-wheel analysis on greenhouse gas emission and energy use with natural gas in Korea. S.1"/>
        <s v="https://umwelt.hessen.de/sites/default/files/media/hmuelv/20150320_entwurf_2._fortschreibung_lrp_ballungsraum_rhein-main_teilplan_ruesselsheim.pdf (Seite 25)"/>
        <s v="Jang, Jae Jun; Song, Han Ho. Well-to-wheel analysis on greenhouse gas emission and energy use with petroleum-based fuels in Korea: gasoline and diesel. S.1112"/>
        <s v="Ahmadi, Pouria; Kjeang, Erik. Comparative life cycle assessment of hydrogen fuel cell passenger vehicles in different Canadian provinces. S12913"/>
        <s v="Eigene Berechnung; ISO 6976:2016; Dubbel; Anh. L2 Tabelle 6"/>
        <s v="ISO 6976:2016 - Erdgas – Berechnung von Brenn- und Heizwert, Dichte, relativer Dichte und Wobbeindex aus der Zusammensetzung"/>
        <s v="Michael Memmler, Thomas Lauf, Katharina Wolf, Sven Schneider (2017): Emissionsbilanz erneuerbarer Energieträger. Bestimmung der vermiedenen Emissionen im Jahr 2016. Hg. v. UBA (ISSN 1862-4359)."/>
        <s v="Wolfram Knörr; Christoph Heidt; Sabine Gores; Fabian Bergk (2016): Aktualisierung „Daten- und Rechenmodell: Energieverbrauch und Schadstoffemissionen des motorisierten Verkehrs in Deutschland 1960-2035“ (TREMOD) für die Emissionsberichterstattung 2016 (Berichtsperiode 1990-2014). TREMOD, "/>
        <s v="Jurich, Kristina (2016): CO2-Emissionsfaktoren für fossile Brennstoffe. Hg. v. UBA, zuletzt geprüft am 23.01.2019."/>
        <s v="W. Siebenpfeiffer_x000a_W. Siebenpfeiffer. A high-efficiency lean-burn mono-fuel heavy-duty natural gas engine for achieving Euro VI emissions legislation and beyond. S.4"/>
        <s v="W. Siebenpfeiffer. A high-efficiency lean-burn mono-fuel heavy-duty natural gas engine for achieving Euro VI emissions legislation and beyond. S.4"/>
        <s v="van Basshuysen, Richard; Schäfer, Fred. Handbuch Verbrennungsmotor. Abb.22.13"/>
        <s v="van Basshuysen, Richard; Schäfer, Fred. Handbuch Verbrennungsmotor. Abb.22.14"/>
        <s v="van Basshuysen, Richard; Schäfer, Fred. Handbuch Verbrennungsmotor. Abb.22.21"/>
        <s v="van Basshuysen, Richard; Schäfer, Fred. Handbuch Verbrennungsmotor. Abb.22.50"/>
        <s v="van Basshuysen, Richard; Schäfer, Fred. Handbuch Verbrennungsmotor. Abb.22.54"/>
        <s v="Chala, Girma; Abd Aziz, Abd; Hagos, Ftwi. Natural Gas Engine Technologies: Challenges and Energy Sustainability Issue. S.12"/>
        <s v="Grote, Karl-Heinrich; Bender, Beate; Göhlich, Dietmar; DUBBEL"/>
        <s v="Eigene Berechnung; ISO 6976:2016; Dubbel; Anh. L2 Tabelle 6. BMWI_2019_energiedaten-gesamt-xls; Tab.17."/>
        <s v="FahrKLang. S.25"/>
        <s v="Bareiß, Kay; La Rua, Cristina de; Möckl, Maximilian; Hamacher, Thomas. Life cycle assessment of hydrogen from proton exchange membrane water electrolysis in future energy systems. S.1"/>
        <s v="DBFZ (2015)"/>
        <s v="Klimaschutz-Allianz Hannover: C02-Emissionsfaktoren"/>
        <s v="Hussain, Mohammed M.; Dincer, I. Electric and Hybrid Vehicles. S.281"/>
        <s v="Ribau, João P.; Silva, Carla M.; Sousa, João M.C. Efficiency, cost and life cycle CO2 optimization of fuel cell hybrid and plug-in hybrid urban buses. S.327"/>
        <s v="SCHAFER, A.; HEYWOOD, J.; WEISS, M. Future fuel cell and internal combustion engine automobile technologies: A 25-year life cycle and fleet impact assessment. 2067"/>
        <s v="WAGNER, U.; ECKL, R.; TZSCHEUTSCHLER, P. Energetic life cycle assessment of fuel cell powertrain systems and alternative fuels in Germany. S.3064"/>
        <s v="WAGNER, U.; ECKL, R.; TZSCHEUTSCHLER, P. Energetic life cycle assessment of fuel cell powertrain systems and alternative fuels in Germany. S.3072"/>
        <s v="Walker, Sean B.; Fowler, Michael; Ahmadi, Leila. Comparative life cycle assessment of power-to-gas generation of hydrogen with a dynamic emissions factor for fuel cell vehicles. S.68"/>
        <s v="Zamel, Nada; Li, Xianguo. Life cycle comparison of fuel cell vehicles and internal combustion engine vehicles for Canada and the United States. S.1247"/>
        <s v="Zamel, Nada; Li, Xianguo. Life cycle comparison of fuel cell vehicles and internal combustion engine vehicles for Canada and the United States. S.1248"/>
        <s v="Zamel, Nada; Li, Xianguo. Life cycle comparison of fuel cell vehicles and internal combustion engine vehicles for Canada and the United States. S.1249"/>
        <s v="Zamel, Nada; Li, Xianguo. Life cycle comparison of fuel cell vehicles and internal combustion engine vehicles for Canada and the United States. S.1250"/>
        <s v="Helms, Hinrich.; Julius Jöhrens; Jan Hanusch; Ulrich Höpfner; Udo Lambrecht; Martin Pehnt. UMBRELA. Tabelle 31"/>
        <s v="Helms, Hinrich.; Julius Jöhrens; Jan Hanusch; Ulrich Höpfner; Udo Lambrecht; Martin Pehnt. UMBRELA. S.77"/>
        <s v="Helms, Hinrich.; Julius Jöhrens; Jan Hanusch; Ulrich Höpfner; Udo Lambrecht; Martin Pehnt. UMBRELA. Abb.44"/>
        <s v="Jurich, Kristina (2016): CO2-Emissionsfaktoren für fossile Brennstoffe. S.44"/>
        <s v="Michael Memmler, Thomas Lauf, Katharina Wolf, Sven Schneider. Emissionsbilanz erneuerbarer Energieträger. S.125"/>
        <s v="Michael Memmler, Thomas Lauf, Katharina Wolf, Sven Schneider. Emissionsbilanz erneuerbarer Energieträger. S.129"/>
        <s v="Michael Memmler, Thomas Lauf, Katharina Wolf, Sven Schneider. Emissionsbilanz erneuerbarer Energieträger. S.131"/>
        <s v="Michael Memmler, Thomas Lauf, Katharina Wolf, Sven Schneider. Emissionsbilanz erneuerbarer Energieträger. S.132"/>
        <s v="Michael Memmler, Thomas Lauf, Katharina Wolf, Sven Schneider. Emissionsbilanz erneuerbarer Energieträger. S.133"/>
        <s v="Michael Memmler, Thomas Lauf, Katharina Wolf, Sven Schneider. Emissionsbilanz erneuerbarer Energieträger. S.134"/>
        <s v="Michael Memmler, Thomas Lauf, Katharina Wolf, Sven Schneider. Emissionsbilanz erneuerbarer Energieträger. S.136"/>
        <s v="KORONEOS, C. Life cycle assessment of hydrogen fuel production processes. S.1447"/>
        <s v="European Commission DG ENER. STUDY ON ACTUAL GHG DATA FOR DIESEL, PETROL, KEROSENE AND NATURAL GAS. S.313"/>
        <s v="European Commission DG ENER. STUDY ON ACTUAL GHG DATA FOR DIESEL, PETROL, KEROSENE AND NATURAL GAS. S.465"/>
        <m u="1"/>
        <s v="FahrKLang" u="1"/>
        <s v="Klimaschutz-Allianz Hannover" u="1"/>
        <s v="eigene Berechnung: basiert auf ISO 6976:2016 - Erdgas UND Exceltool von Anhang D der Norm" u="1"/>
      </sharedItems>
    </cacheField>
    <cacheField name="Jahr der Erscheinung" numFmtId="0">
      <sharedItems containsString="0" containsBlank="1" containsNumber="1" containsInteger="1" minValue="2003" maxValue="2019"/>
    </cacheField>
    <cacheField name="Kraftstoffart" numFmtId="0">
      <sharedItems containsBlank="1" count="13">
        <s v="Benzin"/>
        <s v="Diesel"/>
        <s v="Erdgas (CNG)"/>
        <s v="Flüssiggas (LPG)"/>
        <s v="Wasserstoff"/>
        <s v="SynFuel"/>
        <s v="FT Diesel"/>
        <s v="Synthetische Erdgas (SNG)"/>
        <s v="Bioethanol"/>
        <s v="Biodiesel"/>
        <s v="Dieselöl"/>
        <s v="Biomethan"/>
        <m u="1"/>
      </sharedItems>
    </cacheField>
    <cacheField name="Eigenschaft" numFmtId="0">
      <sharedItems containsBlank="1" count="7">
        <s v="Heizwert"/>
        <s v="Emissionen-Vorkette"/>
        <s v="Dichte"/>
        <s v="Emissionen-Nutzung"/>
        <m u="1"/>
        <s v="Emissionen " u="1"/>
        <s v="Emissionen" u="1"/>
      </sharedItems>
    </cacheField>
    <cacheField name="Einheit (Recherche)" numFmtId="0">
      <sharedItems/>
    </cacheField>
    <cacheField name="Wert (Recherche)" numFmtId="0">
      <sharedItems containsSemiMixedTypes="0" containsString="0" containsNumber="1" minValue="6.1000000000000004E-3" maxValue="74027"/>
    </cacheField>
    <cacheField name="Einheit (Ziel)" numFmtId="0">
      <sharedItems/>
    </cacheField>
    <cacheField name="Wert (Ziel)" numFmtId="0">
      <sharedItems containsString="0" containsBlank="1" containsNumber="1" minValue="5.5600000000000003E-5" maxValue="121"/>
    </cacheField>
    <cacheField name="Bemerkung" numFmtId="0">
      <sharedItems containsBlank="1"/>
    </cacheField>
    <cacheField name="_x000a_zeitbezogener Erfassungsbereich" numFmtId="0">
      <sharedItems containsString="0" containsBlank="1" containsNumber="1" containsInteger="1" minValue="2003" maxValue="2050"/>
    </cacheField>
    <cacheField name="optimistisch/ pessimistisch" numFmtId="0">
      <sharedItems containsBlank="1" count="4">
        <s v="neutral"/>
        <s v="optimistisch"/>
        <m/>
        <s v="pessimistisch"/>
      </sharedItems>
    </cacheField>
    <cacheField name="Verwendung" numFmtId="0">
      <sharedItems containsBlank="1" count="3">
        <s v="ja"/>
        <s v="nein"/>
        <m u="1"/>
      </sharedItems>
    </cacheField>
  </cacheFields>
  <extLst>
    <ext xmlns:x14="http://schemas.microsoft.com/office/spreadsheetml/2009/9/main" uri="{725AE2AE-9491-48be-B2B4-4EB974FC3084}">
      <x14:pivotCacheDefinition pivotCacheId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64">
  <r>
    <x v="0"/>
    <x v="0"/>
    <n v="2003"/>
    <x v="0"/>
    <x v="0"/>
    <s v="MJ/kg"/>
    <n v="43.5"/>
    <s v="MJ/kg"/>
    <n v="43.5"/>
    <m/>
    <n v="2003"/>
    <x v="0"/>
    <x v="0"/>
  </r>
  <r>
    <x v="1"/>
    <x v="0"/>
    <n v="2003"/>
    <x v="1"/>
    <x v="0"/>
    <s v="MJ/kg"/>
    <n v="42.5"/>
    <s v="MJ/kg"/>
    <n v="42.5"/>
    <m/>
    <n v="2003"/>
    <x v="0"/>
    <x v="0"/>
  </r>
  <r>
    <x v="2"/>
    <x v="0"/>
    <n v="2003"/>
    <x v="2"/>
    <x v="0"/>
    <s v="MJ/kg"/>
    <n v="46.7"/>
    <s v="MJ/kg"/>
    <n v="46.7"/>
    <s v="Erdgas H (Nordsee) - 46,7 KJ/kg"/>
    <n v="2003"/>
    <x v="0"/>
    <x v="0"/>
  </r>
  <r>
    <x v="3"/>
    <x v="0"/>
    <n v="2003"/>
    <x v="3"/>
    <x v="0"/>
    <s v="MJ/kg"/>
    <n v="46.1"/>
    <s v="MJ/kg"/>
    <n v="46.1"/>
    <m/>
    <n v="2003"/>
    <x v="0"/>
    <x v="0"/>
  </r>
  <r>
    <x v="4"/>
    <x v="0"/>
    <n v="2003"/>
    <x v="2"/>
    <x v="0"/>
    <s v="MJ/kg"/>
    <n v="49.1"/>
    <s v="MJ/kg"/>
    <n v="49.1"/>
    <s v="Erdgas H (Russland) - 49,1 KJ/kg"/>
    <n v="2003"/>
    <x v="0"/>
    <x v="0"/>
  </r>
  <r>
    <x v="5"/>
    <x v="1"/>
    <n v="2006"/>
    <x v="4"/>
    <x v="1"/>
    <s v="g CO2/MJ"/>
    <n v="85"/>
    <s v="kg CO2/kg Kraftstoff"/>
    <n v="10.2255"/>
    <s v="Wasserstoff aus Erdgas"/>
    <n v="2006"/>
    <x v="0"/>
    <x v="0"/>
  </r>
  <r>
    <x v="6"/>
    <x v="1"/>
    <n v="2006"/>
    <x v="4"/>
    <x v="1"/>
    <s v="g CO2/MJ"/>
    <n v="20"/>
    <s v="kg CO2/kg Kraftstoff"/>
    <n v="2.4060000000000001"/>
    <s v="Wasserstoffgewinnung mit Windenergie"/>
    <n v="2006"/>
    <x v="1"/>
    <x v="0"/>
  </r>
  <r>
    <x v="7"/>
    <x v="1"/>
    <n v="2006"/>
    <x v="4"/>
    <x v="1"/>
    <s v="g CO2/MJ"/>
    <n v="30"/>
    <s v="kg CO2/kg Kraftstoff"/>
    <n v="3.609"/>
    <s v="Wasserstoffgewinnung mit Sonnenenergie"/>
    <n v="2006"/>
    <x v="1"/>
    <x v="0"/>
  </r>
  <r>
    <x v="8"/>
    <x v="2"/>
    <n v="2006"/>
    <x v="4"/>
    <x v="1"/>
    <s v="g CO2/MJ"/>
    <n v="85"/>
    <s v="kg CO2/kg Kraftstoff"/>
    <n v="10.2255"/>
    <s v="Quelle: GRANOVSKII, M_x000a_Wasserstoff aus Erdgas"/>
    <n v="2006"/>
    <x v="0"/>
    <x v="0"/>
  </r>
  <r>
    <x v="9"/>
    <x v="2"/>
    <n v="2006"/>
    <x v="4"/>
    <x v="1"/>
    <s v="g CO2/MJ"/>
    <n v="20"/>
    <s v="kg CO2/kg Kraftstoff"/>
    <n v="2.4060000000000001"/>
    <s v="Quelle: GRANOVSKII, M_x000a_Wasserstoffgewinnung mit Windenergie"/>
    <n v="2006"/>
    <x v="1"/>
    <x v="0"/>
  </r>
  <r>
    <x v="10"/>
    <x v="2"/>
    <n v="2006"/>
    <x v="4"/>
    <x v="1"/>
    <s v="g CO2/MJ"/>
    <n v="30"/>
    <s v="kg CO2/kg Kraftstoff"/>
    <n v="3.609"/>
    <s v="Quelle: GRANOVSKII, M_x000a_Wasserstoffgewinnung mit Sonnenenergie"/>
    <n v="2006"/>
    <x v="1"/>
    <x v="0"/>
  </r>
  <r>
    <x v="11"/>
    <x v="3"/>
    <n v="2006"/>
    <x v="0"/>
    <x v="2"/>
    <s v="g/l"/>
    <n v="737"/>
    <s v="kg/l"/>
    <n v="0.73699999999999999"/>
    <m/>
    <n v="2006"/>
    <x v="0"/>
    <x v="0"/>
  </r>
  <r>
    <x v="12"/>
    <x v="3"/>
    <n v="2006"/>
    <x v="1"/>
    <x v="2"/>
    <s v="g/l"/>
    <n v="856"/>
    <s v="kg/l"/>
    <n v="0.85599999999999998"/>
    <m/>
    <n v="2006"/>
    <x v="0"/>
    <x v="0"/>
  </r>
  <r>
    <x v="13"/>
    <x v="3"/>
    <n v="2006"/>
    <x v="0"/>
    <x v="0"/>
    <s v="MJ/kg"/>
    <n v="43.7"/>
    <s v="MJ/kg"/>
    <n v="43.7"/>
    <m/>
    <n v="2006"/>
    <x v="0"/>
    <x v="0"/>
  </r>
  <r>
    <x v="14"/>
    <x v="3"/>
    <n v="2006"/>
    <x v="1"/>
    <x v="0"/>
    <s v="MJ/kg"/>
    <n v="41.8"/>
    <s v="MJ/kg"/>
    <n v="41.8"/>
    <m/>
    <n v="2006"/>
    <x v="0"/>
    <x v="0"/>
  </r>
  <r>
    <x v="15"/>
    <x v="3"/>
    <n v="2006"/>
    <x v="4"/>
    <x v="0"/>
    <s v="MJ/kg"/>
    <n v="121"/>
    <s v="MJ/kg"/>
    <n v="121"/>
    <m/>
    <n v="2006"/>
    <x v="0"/>
    <x v="0"/>
  </r>
  <r>
    <x v="16"/>
    <x v="4"/>
    <n v="2007"/>
    <x v="4"/>
    <x v="1"/>
    <s v="kg CO2/GJ"/>
    <n v="132"/>
    <s v="kg CO2/kg Kraftstoff"/>
    <n v="15.8796"/>
    <s v="/1000*H_i"/>
    <n v="2007"/>
    <x v="0"/>
    <x v="0"/>
  </r>
  <r>
    <x v="17"/>
    <x v="5"/>
    <n v="2012"/>
    <x v="0"/>
    <x v="1"/>
    <s v="g CO2/MJ"/>
    <n v="12.5"/>
    <s v="kg CO2/kg Kraftstoff"/>
    <n v="0.53721666666666668"/>
    <s v="*H_i/1000"/>
    <n v="2012"/>
    <x v="0"/>
    <x v="0"/>
  </r>
  <r>
    <x v="18"/>
    <x v="6"/>
    <n v="2012"/>
    <x v="2"/>
    <x v="1"/>
    <s v="g CO2/MJ"/>
    <n v="14.5"/>
    <s v="kg CO2/kg Kraftstoff"/>
    <n v="0.66972900361617482"/>
    <m/>
    <n v="2012"/>
    <x v="0"/>
    <x v="0"/>
  </r>
  <r>
    <x v="19"/>
    <x v="7"/>
    <n v="2012"/>
    <x v="1"/>
    <x v="2"/>
    <s v="kg/m³"/>
    <n v="820"/>
    <s v="kg/l"/>
    <n v="0.82"/>
    <s v="untere Grenze"/>
    <n v="2012"/>
    <x v="0"/>
    <x v="0"/>
  </r>
  <r>
    <x v="20"/>
    <x v="7"/>
    <n v="2012"/>
    <x v="1"/>
    <x v="2"/>
    <s v="kg/m³"/>
    <n v="845"/>
    <s v="kg/l"/>
    <n v="0.84499999999999997"/>
    <s v="obere Grenze"/>
    <n v="2012"/>
    <x v="0"/>
    <x v="0"/>
  </r>
  <r>
    <x v="21"/>
    <x v="7"/>
    <n v="2012"/>
    <x v="1"/>
    <x v="0"/>
    <s v="MJ/kg"/>
    <n v="42.8"/>
    <s v="MJ/kg"/>
    <n v="42.8"/>
    <m/>
    <n v="2012"/>
    <x v="0"/>
    <x v="0"/>
  </r>
  <r>
    <x v="22"/>
    <x v="7"/>
    <n v="2012"/>
    <x v="5"/>
    <x v="2"/>
    <s v="kg/m³"/>
    <n v="780"/>
    <s v="kg/l"/>
    <n v="0.78"/>
    <m/>
    <n v="2012"/>
    <x v="0"/>
    <x v="0"/>
  </r>
  <r>
    <x v="23"/>
    <x v="7"/>
    <n v="2012"/>
    <x v="5"/>
    <x v="0"/>
    <s v="MJ/kg"/>
    <n v="43.99"/>
    <s v="MJ/kg"/>
    <n v="43.99"/>
    <m/>
    <n v="2012"/>
    <x v="0"/>
    <x v="0"/>
  </r>
  <r>
    <x v="24"/>
    <x v="8"/>
    <n v="2012"/>
    <x v="0"/>
    <x v="3"/>
    <s v="g CO2/MJ"/>
    <n v="72.5"/>
    <s v="g CO2/J"/>
    <n v="7.25E-5"/>
    <m/>
    <n v="2012"/>
    <x v="0"/>
    <x v="0"/>
  </r>
  <r>
    <x v="25"/>
    <x v="5"/>
    <n v="2012"/>
    <x v="2"/>
    <x v="3"/>
    <s v="g CO2/MJ"/>
    <n v="58.4"/>
    <s v="g CO2/J"/>
    <n v="5.8399999999999997E-5"/>
    <m/>
    <n v="2012"/>
    <x v="0"/>
    <x v="0"/>
  </r>
  <r>
    <x v="26"/>
    <x v="9"/>
    <n v="2012"/>
    <x v="2"/>
    <x v="3"/>
    <s v="g CO2/MJ"/>
    <n v="56"/>
    <s v="g CO2/J"/>
    <n v="5.5999999999999999E-5"/>
    <m/>
    <n v="2012"/>
    <x v="0"/>
    <x v="0"/>
  </r>
  <r>
    <x v="27"/>
    <x v="10"/>
    <n v="2013"/>
    <x v="2"/>
    <x v="1"/>
    <s v="g CO2/MJ"/>
    <n v="17.3"/>
    <s v="kg CO2/kg Kraftstoff"/>
    <n v="0.79905598362481545"/>
    <s v="g CO2-Äquiv./MJ_x000a_(MJ bezogen auf Heizwert?)"/>
    <n v="2013"/>
    <x v="0"/>
    <x v="0"/>
  </r>
  <r>
    <x v="28"/>
    <x v="10"/>
    <n v="2013"/>
    <x v="3"/>
    <x v="1"/>
    <s v="g CO2/MJ"/>
    <n v="13.8"/>
    <s v="kg CO2/kg Kraftstoff"/>
    <n v="0.63739725861401475"/>
    <s v="g CO2-Äquiv./MJ_x000a_(MJ bezogen auf Heizwert?)"/>
    <n v="2013"/>
    <x v="0"/>
    <x v="0"/>
  </r>
  <r>
    <x v="29"/>
    <x v="11"/>
    <n v="2013"/>
    <x v="2"/>
    <x v="0"/>
    <s v="MJ/kg"/>
    <n v="43.725999999999999"/>
    <s v="MJ/kg"/>
    <n v="43.725999999999999"/>
    <m/>
    <n v="2013"/>
    <x v="0"/>
    <x v="0"/>
  </r>
  <r>
    <x v="30"/>
    <x v="11"/>
    <n v="2013"/>
    <x v="4"/>
    <x v="0"/>
    <s v="MJ/kg"/>
    <n v="119.93"/>
    <s v="MJ/kg"/>
    <n v="119.93"/>
    <m/>
    <n v="2013"/>
    <x v="0"/>
    <x v="0"/>
  </r>
  <r>
    <x v="31"/>
    <x v="12"/>
    <n v="2014"/>
    <x v="0"/>
    <x v="0"/>
    <s v="MJ/kg"/>
    <n v="42.61"/>
    <s v="MJ/kg"/>
    <n v="42.61"/>
    <s v="Benzin (ROZ95) nach EN 228"/>
    <n v="2014"/>
    <x v="0"/>
    <x v="0"/>
  </r>
  <r>
    <x v="32"/>
    <x v="12"/>
    <n v="2014"/>
    <x v="2"/>
    <x v="0"/>
    <s v="MJ/kg"/>
    <n v="49.23"/>
    <s v="MJ/kg"/>
    <n v="49.23"/>
    <s v="H-Gas. (GUS nach Analyse von 11/2003)"/>
    <n v="2003"/>
    <x v="0"/>
    <x v="0"/>
  </r>
  <r>
    <x v="33"/>
    <x v="13"/>
    <n v="2014"/>
    <x v="6"/>
    <x v="1"/>
    <s v="g CO2/kWh Kraftstoff"/>
    <n v="53"/>
    <s v="kg CO2/kg Kraftstoff"/>
    <m/>
    <s v="FT Diesel: Fischer-Tropsch-Diesel_x000a_*H_i/1000/3,6"/>
    <n v="2014"/>
    <x v="2"/>
    <x v="1"/>
  </r>
  <r>
    <x v="34"/>
    <x v="13"/>
    <n v="2014"/>
    <x v="1"/>
    <x v="1"/>
    <s v="g CO2/kWh Kraftstoff"/>
    <n v="45"/>
    <s v="kg CO2/kg Kraftstoff"/>
    <n v="0.58374999999999999"/>
    <s v="*H_i/1000/3,6"/>
    <n v="2014"/>
    <x v="0"/>
    <x v="0"/>
  </r>
  <r>
    <x v="35"/>
    <x v="13"/>
    <n v="2014"/>
    <x v="2"/>
    <x v="1"/>
    <s v="g CO2/kWh Kraftstoff"/>
    <n v="58"/>
    <s v="kg CO2/kg Kraftstoff"/>
    <n v="0.48333333333333334"/>
    <s v="*H_i/1000/3,6"/>
    <n v="2014"/>
    <x v="0"/>
    <x v="0"/>
  </r>
  <r>
    <x v="36"/>
    <x v="13"/>
    <n v="2014"/>
    <x v="7"/>
    <x v="1"/>
    <s v="g CO2/kWh Kraftstoff"/>
    <n v="69"/>
    <s v="kg CO2/kg Kraftstoff"/>
    <m/>
    <s v="*H_i/1000/3,6"/>
    <n v="2014"/>
    <x v="2"/>
    <x v="1"/>
  </r>
  <r>
    <x v="37"/>
    <x v="14"/>
    <n v="2014"/>
    <x v="1"/>
    <x v="1"/>
    <s v="g CO2/MJ"/>
    <n v="15.4"/>
    <s v="kg CO2/kg Kraftstoff"/>
    <n v="0.66105355555555556"/>
    <s v="WTT"/>
    <n v="2014"/>
    <x v="0"/>
    <x v="0"/>
  </r>
  <r>
    <x v="38"/>
    <x v="14"/>
    <n v="2014"/>
    <x v="0"/>
    <x v="1"/>
    <s v="g CO2/MJ"/>
    <n v="13.8"/>
    <s v="kg CO2/kg Kraftstoff"/>
    <n v="0.59308720000000004"/>
    <s v="WTT"/>
    <n v="2014"/>
    <x v="0"/>
    <x v="0"/>
  </r>
  <r>
    <x v="39"/>
    <x v="15"/>
    <n v="2014"/>
    <x v="2"/>
    <x v="1"/>
    <s v="g CO2/MJ"/>
    <n v="13"/>
    <s v="kg CO2/kg Kraftstoff"/>
    <n v="0.60044669289726016"/>
    <s v="CNG from EU-mix NG supply"/>
    <n v="2014"/>
    <x v="0"/>
    <x v="0"/>
  </r>
  <r>
    <x v="40"/>
    <x v="15"/>
    <n v="2014"/>
    <x v="2"/>
    <x v="1"/>
    <s v="g CO2/MJ"/>
    <n v="22.5"/>
    <s v="kg CO2/kg Kraftstoff"/>
    <n v="1.0392346607837195"/>
    <s v="CNG from imported NG 7000 km (typically Russia)"/>
    <n v="2014"/>
    <x v="0"/>
    <x v="0"/>
  </r>
  <r>
    <x v="41"/>
    <x v="15"/>
    <n v="2014"/>
    <x v="2"/>
    <x v="1"/>
    <s v="g CO2/MJ"/>
    <n v="16"/>
    <s v="kg CO2/kg Kraftstoff"/>
    <n v="0.73901131433508949"/>
    <s v="CNG from imported NG 4000 km (typically Middle East)"/>
    <n v="2014"/>
    <x v="0"/>
    <x v="0"/>
  </r>
  <r>
    <x v="42"/>
    <x v="15"/>
    <n v="2014"/>
    <x v="2"/>
    <x v="1"/>
    <s v="g CO2/MJ"/>
    <n v="21"/>
    <s v="kg CO2/kg Kraftstoff"/>
    <n v="0.96995235006480496"/>
    <s v="Remote LNG, vaporisation at import terminal"/>
    <n v="2014"/>
    <x v="0"/>
    <x v="0"/>
  </r>
  <r>
    <x v="43"/>
    <x v="15"/>
    <n v="2014"/>
    <x v="2"/>
    <x v="1"/>
    <s v="g CO2/MJ"/>
    <n v="18"/>
    <s v="kg CO2/kg Kraftstoff"/>
    <n v="0.83138772862697552"/>
    <s v="Remote LNG + CCS at liquefaction plant, vaporisation at import terminal"/>
    <n v="2014"/>
    <x v="0"/>
    <x v="0"/>
  </r>
  <r>
    <x v="44"/>
    <x v="15"/>
    <n v="2014"/>
    <x v="2"/>
    <x v="1"/>
    <s v="g CO2/MJ"/>
    <n v="21"/>
    <s v="kg CO2/kg Kraftstoff"/>
    <n v="0.96995235006480496"/>
    <s v="Remote LNG, vaporisation at retail point"/>
    <n v="2014"/>
    <x v="0"/>
    <x v="0"/>
  </r>
  <r>
    <x v="45"/>
    <x v="15"/>
    <n v="2014"/>
    <x v="2"/>
    <x v="1"/>
    <s v="g CO2/MJ"/>
    <n v="19"/>
    <s v="kg CO2/kg Kraftstoff"/>
    <n v="0.8775759357729187"/>
    <s v="Remote LNG, use as LNG in vehicle"/>
    <n v="2014"/>
    <x v="0"/>
    <x v="0"/>
  </r>
  <r>
    <x v="46"/>
    <x v="14"/>
    <n v="2014"/>
    <x v="2"/>
    <x v="1"/>
    <s v="g CO2/MJ"/>
    <n v="7.5"/>
    <s v="kg CO2/kg Kraftstoff"/>
    <n v="0.34641155359457315"/>
    <s v="Shale gas (EU)"/>
    <n v="2014"/>
    <x v="1"/>
    <x v="0"/>
  </r>
  <r>
    <x v="47"/>
    <x v="16"/>
    <n v="2014"/>
    <x v="3"/>
    <x v="1"/>
    <s v="g CO2/MJ"/>
    <n v="8"/>
    <s v="kg CO2/kg Kraftstoff"/>
    <n v="0.36791840000000003"/>
    <s v="from remote gas field"/>
    <n v="2014"/>
    <x v="0"/>
    <x v="0"/>
  </r>
  <r>
    <x v="48"/>
    <x v="17"/>
    <n v="2014"/>
    <x v="8"/>
    <x v="1"/>
    <s v="g CO2/MJ"/>
    <n v="40"/>
    <s v="kg CO2/kg Kraftstoff"/>
    <n v="1.0715000000000001"/>
    <s v="SBET1a Sugar beet, pulp export to animal feed, slops not used"/>
    <n v="2014"/>
    <x v="0"/>
    <x v="0"/>
  </r>
  <r>
    <x v="49"/>
    <x v="17"/>
    <n v="2014"/>
    <x v="8"/>
    <x v="1"/>
    <s v="g CO2/MJ"/>
    <n v="25"/>
    <s v="kg CO2/kg Kraftstoff"/>
    <n v="0.6696875000000001"/>
    <s v="SBET1b Sugar beet, pulp export to animal feed, slops to internal biogas production"/>
    <n v="2014"/>
    <x v="0"/>
    <x v="0"/>
  </r>
  <r>
    <x v="50"/>
    <x v="17"/>
    <n v="2014"/>
    <x v="8"/>
    <x v="1"/>
    <s v="g CO2/MJ"/>
    <n v="22"/>
    <s v="kg CO2/kg Kraftstoff"/>
    <n v="0.58932499999999999"/>
    <s v="SBET1c Sugar beet, pulp use as internal fuel, slops to internal biogas production"/>
    <n v="2014"/>
    <x v="0"/>
    <x v="0"/>
  </r>
  <r>
    <x v="51"/>
    <x v="17"/>
    <n v="2014"/>
    <x v="8"/>
    <x v="1"/>
    <s v="g CO2/MJ"/>
    <n v="70"/>
    <s v="kg CO2/kg Kraftstoff"/>
    <n v="1.8751250000000004"/>
    <s v="WTET1a Wheat grain, process heat from conventional NG boiler, electricity from grid, DDGS export to animal feed"/>
    <n v="2014"/>
    <x v="0"/>
    <x v="0"/>
  </r>
  <r>
    <x v="52"/>
    <x v="17"/>
    <n v="2014"/>
    <x v="8"/>
    <x v="1"/>
    <s v="g CO2/MJ"/>
    <n v="58"/>
    <s v="kg CO2/kg Kraftstoff"/>
    <n v="1.5536750000000001"/>
    <s v="WTET1b Wheat grain, process heat from conventional NG boiler, electricity from grid, DDGS internal use to produce electricity"/>
    <n v="2014"/>
    <x v="0"/>
    <x v="0"/>
  </r>
  <r>
    <x v="53"/>
    <x v="17"/>
    <n v="2014"/>
    <x v="8"/>
    <x v="1"/>
    <s v="g CO2/MJ"/>
    <n v="63"/>
    <s v="kg CO2/kg Kraftstoff"/>
    <n v="1.6876125000000002"/>
    <s v="WTET2a Wheat grain, process heat and electricity from NG-fired CHP, DDGS export to animal feed"/>
    <n v="2014"/>
    <x v="0"/>
    <x v="0"/>
  </r>
  <r>
    <x v="54"/>
    <x v="17"/>
    <n v="2014"/>
    <x v="8"/>
    <x v="1"/>
    <s v="g CO2/MJ"/>
    <n v="55"/>
    <s v="kg CO2/kg Kraftstoff"/>
    <n v="1.4733125"/>
    <s v="WTET2b Wheat grain, process heat and electricity from NG-fired CHP, DDGS internal use to produce electricity"/>
    <n v="2014"/>
    <x v="0"/>
    <x v="0"/>
  </r>
  <r>
    <x v="55"/>
    <x v="17"/>
    <n v="2014"/>
    <x v="8"/>
    <x v="1"/>
    <s v="g CO2/MJ"/>
    <n v="85"/>
    <s v="kg CO2/kg Kraftstoff"/>
    <n v="2.2769375000000003"/>
    <s v="WTET3a Wheat grain, process heat and electricity from lignite-fired CHP, DDGS export to animal feed"/>
    <n v="2014"/>
    <x v="0"/>
    <x v="0"/>
  </r>
  <r>
    <x v="56"/>
    <x v="17"/>
    <n v="2014"/>
    <x v="8"/>
    <x v="1"/>
    <s v="g CO2/MJ"/>
    <n v="75"/>
    <s v="kg CO2/kg Kraftstoff"/>
    <n v="2.0090625000000002"/>
    <s v="WTET3b Wheat grain, process heat and electricity from lignite-fired CHP, DDGS internal use to produce electricity"/>
    <n v="2014"/>
    <x v="0"/>
    <x v="0"/>
  </r>
  <r>
    <x v="57"/>
    <x v="17"/>
    <n v="2014"/>
    <x v="8"/>
    <x v="1"/>
    <s v="g CO2/MJ"/>
    <n v="53"/>
    <s v="kg CO2/kg Kraftstoff"/>
    <n v="1.4197375000000001"/>
    <s v="WTET4a Wheat grain, process heat and electricity from straw-fired CHP, DDGS export to animal feed"/>
    <n v="2014"/>
    <x v="0"/>
    <x v="0"/>
  </r>
  <r>
    <x v="58"/>
    <x v="17"/>
    <n v="2014"/>
    <x v="8"/>
    <x v="1"/>
    <s v="g CO2/MJ"/>
    <n v="53"/>
    <s v="kg CO2/kg Kraftstoff"/>
    <n v="1.4197375000000001"/>
    <s v="WTET4b Wheat grain, process heat and electricity from straw-fired CHP, DDGS internal use to produce electricity"/>
    <n v="2014"/>
    <x v="0"/>
    <x v="0"/>
  </r>
  <r>
    <x v="59"/>
    <x v="17"/>
    <n v="2014"/>
    <x v="8"/>
    <x v="1"/>
    <s v="g CO2/MJ"/>
    <n v="53"/>
    <s v="kg CO2/kg Kraftstoff"/>
    <n v="1.4197375000000001"/>
    <s v="WTET5 Wheat grain, process heat from conventional boiler, DDGS internal use for electricity via biogas"/>
    <n v="2014"/>
    <x v="0"/>
    <x v="0"/>
  </r>
  <r>
    <x v="60"/>
    <x v="17"/>
    <n v="2014"/>
    <x v="8"/>
    <x v="1"/>
    <s v="g CO2/MJ"/>
    <n v="75"/>
    <s v="kg CO2/kg Kraftstoff"/>
    <n v="2.0090625000000002"/>
    <s v="BRET2a Barley/Rye grain (50/50), process heat and electricity from NG-fired CHP, DDGS export to animal feed"/>
    <n v="2014"/>
    <x v="0"/>
    <x v="0"/>
  </r>
  <r>
    <x v="61"/>
    <x v="17"/>
    <n v="2014"/>
    <x v="8"/>
    <x v="1"/>
    <s v="g CO2/MJ"/>
    <n v="80"/>
    <s v="kg CO2/kg Kraftstoff"/>
    <n v="2.1430000000000002"/>
    <s v="CRET2a Maize grain (EU), process heat and electricity from NG-fired CHP, DDGS export to animal feed"/>
    <n v="2014"/>
    <x v="0"/>
    <x v="0"/>
  </r>
  <r>
    <x v="62"/>
    <x v="17"/>
    <n v="2014"/>
    <x v="8"/>
    <x v="1"/>
    <s v="g CO2/MJ"/>
    <n v="69"/>
    <s v="kg CO2/kg Kraftstoff"/>
    <n v="1.8483375000000002"/>
    <s v="CRETus Corn (US)"/>
    <n v="2014"/>
    <x v="0"/>
    <x v="0"/>
  </r>
  <r>
    <x v="63"/>
    <x v="17"/>
    <n v="2014"/>
    <x v="8"/>
    <x v="1"/>
    <s v="g CO2/MJ"/>
    <n v="27"/>
    <s v="kg CO2/kg Kraftstoff"/>
    <n v="0.72326250000000003"/>
    <s v="SCET1 Sugar cane (Brazil), bagasse to electricity"/>
    <n v="2014"/>
    <x v="1"/>
    <x v="0"/>
  </r>
  <r>
    <x v="64"/>
    <x v="17"/>
    <n v="2014"/>
    <x v="8"/>
    <x v="1"/>
    <s v="g CO2/MJ"/>
    <n v="22"/>
    <s v="kg CO2/kg Kraftstoff"/>
    <n v="0.58932499999999999"/>
    <s v="WFET1 Wood (farmed)"/>
    <n v="2014"/>
    <x v="1"/>
    <x v="0"/>
  </r>
  <r>
    <x v="65"/>
    <x v="17"/>
    <n v="2014"/>
    <x v="8"/>
    <x v="1"/>
    <s v="g CO2/MJ"/>
    <n v="19"/>
    <s v="kg CO2/kg Kraftstoff"/>
    <n v="0.50896249999999998"/>
    <s v="WWET1 Wood (waste)"/>
    <n v="2014"/>
    <x v="1"/>
    <x v="0"/>
  </r>
  <r>
    <x v="66"/>
    <x v="17"/>
    <n v="2014"/>
    <x v="8"/>
    <x v="1"/>
    <s v="g CO2/MJ"/>
    <n v="9"/>
    <s v="kg CO2/kg Kraftstoff"/>
    <n v="0.24108749999999998"/>
    <s v="STET1 Straw (wheat)"/>
    <n v="2014"/>
    <x v="1"/>
    <x v="0"/>
  </r>
  <r>
    <x v="67"/>
    <x v="18"/>
    <n v="2014"/>
    <x v="9"/>
    <x v="1"/>
    <s v="g CO2/MJ"/>
    <n v="60"/>
    <s v="kg CO2/kg Kraftstoff"/>
    <n v="2.2345199999999998"/>
    <s v="ROFA1 Rape (RME), meal export to animal feed, glycerine export as chemical"/>
    <n v="2014"/>
    <x v="0"/>
    <x v="0"/>
  </r>
  <r>
    <x v="68"/>
    <x v="18"/>
    <n v="2014"/>
    <x v="9"/>
    <x v="1"/>
    <s v="g CO2/MJ"/>
    <n v="60"/>
    <s v="kg CO2/kg Kraftstoff"/>
    <n v="2.2345199999999998"/>
    <s v="ROFA2 Rape (RME), meal and glycerine export to animal feed"/>
    <n v="2014"/>
    <x v="0"/>
    <x v="0"/>
  </r>
  <r>
    <x v="69"/>
    <x v="18"/>
    <n v="2014"/>
    <x v="9"/>
    <x v="1"/>
    <s v="g CO2/MJ"/>
    <n v="60"/>
    <s v="kg CO2/kg Kraftstoff"/>
    <n v="2.2345199999999998"/>
    <s v="ROFA3 Rape (RME), meal export to animal feed, glycerine to internal biogas production"/>
    <n v="2014"/>
    <x v="0"/>
    <x v="0"/>
  </r>
  <r>
    <x v="70"/>
    <x v="18"/>
    <n v="2014"/>
    <x v="9"/>
    <x v="1"/>
    <s v="g CO2/MJ"/>
    <n v="60"/>
    <s v="kg CO2/kg Kraftstoff"/>
    <n v="2.2345199999999998"/>
    <s v="ROFA4 Rape (RME), meal and glycerine to internal biogas production"/>
    <n v="2014"/>
    <x v="0"/>
    <x v="0"/>
  </r>
  <r>
    <x v="71"/>
    <x v="18"/>
    <n v="2014"/>
    <x v="9"/>
    <x v="1"/>
    <s v="g CO2/MJ"/>
    <n v="60"/>
    <s v="kg CO2/kg Kraftstoff"/>
    <n v="2.2345199999999998"/>
    <s v="ROFA5 Rape (RME), meal export to animal feed, glycerine to internal hydrogen production"/>
    <n v="2014"/>
    <x v="0"/>
    <x v="0"/>
  </r>
  <r>
    <x v="72"/>
    <x v="18"/>
    <n v="2014"/>
    <x v="9"/>
    <x v="1"/>
    <s v="g CO2/MJ"/>
    <n v="55"/>
    <s v="kg CO2/kg Kraftstoff"/>
    <n v="2.0483099999999999"/>
    <s v="ROFE3 Rape (REE: esterfication with ethanol), meal export to animal feed, glycerine to internal biogas production"/>
    <n v="2014"/>
    <x v="0"/>
    <x v="0"/>
  </r>
  <r>
    <x v="73"/>
    <x v="18"/>
    <n v="2014"/>
    <x v="9"/>
    <x v="1"/>
    <s v="g CO2/MJ"/>
    <n v="45"/>
    <s v="kg CO2/kg Kraftstoff"/>
    <n v="1.6758899999999999"/>
    <s v="SOFA3 Sunflower (SME), meal export to animal feed, glycerine to internal biogas production"/>
    <n v="2014"/>
    <x v="0"/>
    <x v="0"/>
  </r>
  <r>
    <x v="74"/>
    <x v="18"/>
    <n v="2014"/>
    <x v="9"/>
    <x v="1"/>
    <s v="g CO2/MJ"/>
    <n v="70"/>
    <s v="kg CO2/kg Kraftstoff"/>
    <n v="2.6069400000000003"/>
    <s v="SYFA3a Soy (SYME), no till culture, local mill, meal export to animal feed, oil to EU, glycerine to internal biogas production"/>
    <n v="2014"/>
    <x v="0"/>
    <x v="0"/>
  </r>
  <r>
    <x v="75"/>
    <x v="18"/>
    <n v="2014"/>
    <x v="9"/>
    <x v="1"/>
    <s v="g CO2/MJ"/>
    <n v="82"/>
    <s v="kg CO2/kg Kraftstoff"/>
    <n v="3.0538439999999998"/>
    <s v="SYFA3b Soy (SYME), no till culture, beans to EU, meal export to animal feed, glycerine to internal biogas production"/>
    <n v="2014"/>
    <x v="0"/>
    <x v="0"/>
  </r>
  <r>
    <x v="76"/>
    <x v="18"/>
    <n v="2014"/>
    <x v="9"/>
    <x v="1"/>
    <s v="g CO2/MJ"/>
    <n v="75"/>
    <s v="kg CO2/kg Kraftstoff"/>
    <n v="2.7931499999999998"/>
    <s v="SYFA3c Soy (SYME), conventional culture, local mill, meal to animal feed, oil to EU, glycerine to internal biogas production"/>
    <n v="2014"/>
    <x v="0"/>
    <x v="0"/>
  </r>
  <r>
    <x v="77"/>
    <x v="18"/>
    <n v="2014"/>
    <x v="9"/>
    <x v="1"/>
    <s v="g CO2/MJ"/>
    <n v="50"/>
    <s v="kg CO2/kg Kraftstoff"/>
    <n v="1.8620999999999999"/>
    <s v="POFA3a Palm (POME), kernel meal to animal feed, no CH4 recovery from waste storage, heat credit from residue use as fuel, oil to EU, glycerine to biogas"/>
    <n v="2014"/>
    <x v="0"/>
    <x v="0"/>
  </r>
  <r>
    <x v="78"/>
    <x v="18"/>
    <n v="2014"/>
    <x v="9"/>
    <x v="1"/>
    <s v="g CO2/MJ"/>
    <n v="40"/>
    <s v="kg CO2/kg Kraftstoff"/>
    <n v="1.4896799999999999"/>
    <s v="POFA3b Palm (POME), kernel meal to animal feed, CH4 recovery from waste storage, heat credit from residue use as fuel, oil to EU, glycerine to biogas"/>
    <n v="2014"/>
    <x v="0"/>
    <x v="0"/>
  </r>
  <r>
    <x v="79"/>
    <x v="18"/>
    <n v="2014"/>
    <x v="9"/>
    <x v="1"/>
    <s v="g CO2/MJ"/>
    <n v="62"/>
    <s v="kg CO2/kg Kraftstoff"/>
    <n v="2.3090039999999998"/>
    <s v="POFA3c Palm (POME), kernel meal export to animal feed, no CH4 recovery from waste storage, no heat credit from residue use as fuel, oil transport to EU, glycerine to biogas"/>
    <n v="2014"/>
    <x v="0"/>
    <x v="0"/>
  </r>
  <r>
    <x v="80"/>
    <x v="18"/>
    <n v="2014"/>
    <x v="9"/>
    <x v="1"/>
    <s v="g CO2/MJ"/>
    <n v="15"/>
    <s v="kg CO2/kg Kraftstoff"/>
    <n v="0.55862999999999996"/>
    <s v="WOFA3a FAME from waste cooking oil"/>
    <n v="2014"/>
    <x v="1"/>
    <x v="0"/>
  </r>
  <r>
    <x v="81"/>
    <x v="18"/>
    <n v="2014"/>
    <x v="9"/>
    <x v="1"/>
    <s v="g CO2/MJ"/>
    <n v="25"/>
    <s v="kg CO2/kg Kraftstoff"/>
    <n v="0.93104999999999993"/>
    <s v="TOFA3a FAME from tallow"/>
    <n v="2014"/>
    <x v="1"/>
    <x v="0"/>
  </r>
  <r>
    <x v="82"/>
    <x v="19"/>
    <n v="2014"/>
    <x v="5"/>
    <x v="1"/>
    <s v="g CO2/MJ"/>
    <n v="20"/>
    <s v="kg CO2/kg Kraftstoff"/>
    <m/>
    <s v="Fischer-Tropsch Diesel (Syndiesel)_x000a_GRSD1 Remote NG to syndiesel, GTL plant near gas field"/>
    <n v="2014"/>
    <x v="2"/>
    <x v="1"/>
  </r>
  <r>
    <x v="83"/>
    <x v="19"/>
    <n v="2014"/>
    <x v="5"/>
    <x v="1"/>
    <s v="g CO2/MJ"/>
    <n v="14"/>
    <s v="kg CO2/kg Kraftstoff"/>
    <m/>
    <s v="Fischer-Tropsch Diesel (Syndiesel)_x000a_GRSD1C Remote NG to syndiesel, GTL plant near gas field + CCS"/>
    <n v="2014"/>
    <x v="2"/>
    <x v="1"/>
  </r>
  <r>
    <x v="84"/>
    <x v="19"/>
    <n v="2014"/>
    <x v="5"/>
    <x v="1"/>
    <s v="g CO2/MJ"/>
    <n v="130"/>
    <s v="kg CO2/kg Kraftstoff"/>
    <m/>
    <s v="Fischer-Tropsch Diesel (Syndiesel)_x000a_KOSD1 Coal (hard, EU-mix) to syndiesel, CTL plant in EU"/>
    <n v="2014"/>
    <x v="2"/>
    <x v="1"/>
  </r>
  <r>
    <x v="85"/>
    <x v="19"/>
    <n v="2014"/>
    <x v="5"/>
    <x v="1"/>
    <s v="g CO2/MJ"/>
    <n v="40"/>
    <s v="kg CO2/kg Kraftstoff"/>
    <m/>
    <s v="Fischer-Tropsch Diesel (Syndiesel)_x000a_KOSD1C Coal (hard, EU-mix) to syndiesel, CTL plant in EU + CCS"/>
    <n v="2014"/>
    <x v="2"/>
    <x v="1"/>
  </r>
  <r>
    <x v="86"/>
    <x v="19"/>
    <n v="2014"/>
    <x v="5"/>
    <x v="1"/>
    <s v="g CO2/MJ"/>
    <n v="9"/>
    <s v="kg CO2/kg Kraftstoff"/>
    <m/>
    <s v="Fischer-Tropsch Diesel (Syndiesel)_x000a_WFSD1 Wood (farmed) to syndiesel"/>
    <n v="2014"/>
    <x v="2"/>
    <x v="1"/>
  </r>
  <r>
    <x v="87"/>
    <x v="19"/>
    <n v="2014"/>
    <x v="5"/>
    <x v="1"/>
    <s v="g CO2/MJ"/>
    <n v="2"/>
    <s v="kg CO2/kg Kraftstoff"/>
    <m/>
    <s v="Fischer-Tropsch Diesel (Syndiesel)_x000a_WWSD2 Wood (waste) to syndiesel via black liquor"/>
    <n v="2014"/>
    <x v="2"/>
    <x v="1"/>
  </r>
  <r>
    <x v="88"/>
    <x v="20"/>
    <n v="2014"/>
    <x v="5"/>
    <x v="1"/>
    <s v="g CO2/MJ"/>
    <n v="30"/>
    <s v="kg CO2/kg Kraftstoff"/>
    <m/>
    <s v="Di-Methyl Ether (DME)_x000a_GPDE1b Piped NG (4000 km) to DME, synthesis plant in EU"/>
    <n v="2014"/>
    <x v="2"/>
    <x v="1"/>
  </r>
  <r>
    <x v="89"/>
    <x v="20"/>
    <n v="2014"/>
    <x v="5"/>
    <x v="1"/>
    <s v="g CO2/MJ"/>
    <n v="20"/>
    <s v="kg CO2/kg Kraftstoff"/>
    <m/>
    <s v="Di-Methyl Ether (DME)_x000a_GRDE1 Remote NG to DME, synthesis plant near gas field"/>
    <n v="2014"/>
    <x v="2"/>
    <x v="1"/>
  </r>
  <r>
    <x v="90"/>
    <x v="20"/>
    <n v="2014"/>
    <x v="5"/>
    <x v="1"/>
    <s v="g CO2/MJ"/>
    <n v="12"/>
    <s v="kg CO2/kg Kraftstoff"/>
    <m/>
    <s v="Di-Methyl Ether (DME)_x000a_GRDE1C Remote NG to DME, synthesis plant near gas field + CCS"/>
    <n v="2014"/>
    <x v="2"/>
    <x v="1"/>
  </r>
  <r>
    <x v="91"/>
    <x v="20"/>
    <n v="2014"/>
    <x v="5"/>
    <x v="1"/>
    <s v="g CO2/MJ"/>
    <n v="125"/>
    <s v="kg CO2/kg Kraftstoff"/>
    <m/>
    <s v="Di-Methyl Ether (DME)_x000a_KODE1 Coal (hard, EU-mix) to DME, synthesis plant in EU"/>
    <n v="2014"/>
    <x v="2"/>
    <x v="1"/>
  </r>
  <r>
    <x v="92"/>
    <x v="20"/>
    <n v="2014"/>
    <x v="5"/>
    <x v="1"/>
    <s v="g CO2/MJ"/>
    <n v="8"/>
    <s v="kg CO2/kg Kraftstoff"/>
    <m/>
    <s v="Di-Methyl Ether (DME)_x000a_WFDE1 Wood (farmed) to DME"/>
    <n v="2014"/>
    <x v="2"/>
    <x v="1"/>
  </r>
  <r>
    <x v="93"/>
    <x v="20"/>
    <n v="2014"/>
    <x v="5"/>
    <x v="1"/>
    <s v="g CO2/MJ"/>
    <n v="2"/>
    <s v="kg CO2/kg Kraftstoff"/>
    <m/>
    <s v="Di-Methyl Ether (DME)_x000a_WWDE2 Wood (waste) to DME via black liquor"/>
    <n v="2014"/>
    <x v="2"/>
    <x v="1"/>
  </r>
  <r>
    <x v="94"/>
    <x v="21"/>
    <n v="2014"/>
    <x v="5"/>
    <x v="1"/>
    <s v="g CO2/MJ"/>
    <n v="33"/>
    <s v="kg CO2/kg Kraftstoff"/>
    <m/>
    <s v="Methanol_x000a_GPME1b Piped NG (4000 km) to methanol, synthesis plant in EU"/>
    <n v="2014"/>
    <x v="2"/>
    <x v="1"/>
  </r>
  <r>
    <x v="95"/>
    <x v="21"/>
    <n v="2014"/>
    <x v="5"/>
    <x v="1"/>
    <s v="g CO2/MJ"/>
    <n v="27"/>
    <s v="kg CO2/kg Kraftstoff"/>
    <m/>
    <s v="Methanol_x000a_GRME1 Remote NG to methanol, synthesis plant near gas field"/>
    <n v="2014"/>
    <x v="2"/>
    <x v="1"/>
  </r>
  <r>
    <x v="96"/>
    <x v="21"/>
    <n v="2014"/>
    <x v="5"/>
    <x v="1"/>
    <s v="g CO2/MJ"/>
    <n v="123"/>
    <s v="kg CO2/kg Kraftstoff"/>
    <m/>
    <s v="Methanol_x000a_KOME1 Coal (hard, EU-mix) to methanol, synthesis plant in EU"/>
    <n v="2014"/>
    <x v="2"/>
    <x v="1"/>
  </r>
  <r>
    <x v="97"/>
    <x v="21"/>
    <n v="2014"/>
    <x v="5"/>
    <x v="1"/>
    <s v="g CO2/MJ"/>
    <n v="7"/>
    <s v="kg CO2/kg Kraftstoff"/>
    <m/>
    <s v="Methanol_x000a_WFME1 Wood (farmed) to methanol"/>
    <n v="2014"/>
    <x v="2"/>
    <x v="1"/>
  </r>
  <r>
    <x v="98"/>
    <x v="21"/>
    <n v="2014"/>
    <x v="5"/>
    <x v="1"/>
    <s v="g CO2/MJ"/>
    <n v="3"/>
    <s v="kg CO2/kg Kraftstoff"/>
    <m/>
    <s v="Methanol_x000a_WWME2 Wood (waste) to methanol via black liquor"/>
    <n v="2014"/>
    <x v="2"/>
    <x v="1"/>
  </r>
  <r>
    <x v="99"/>
    <x v="22"/>
    <n v="2014"/>
    <x v="4"/>
    <x v="1"/>
    <s v="g CO2/MJ"/>
    <n v="127"/>
    <s v="kg CO2/kg Kraftstoff"/>
    <n v="15.2781"/>
    <s v="NG to compressed hydrogen_x000a_pathways_x000a_GPCH1a NG 7000 km, on-site reforming"/>
    <n v="2014"/>
    <x v="0"/>
    <x v="0"/>
  </r>
  <r>
    <x v="100"/>
    <x v="22"/>
    <n v="2014"/>
    <x v="4"/>
    <x v="1"/>
    <s v="g CO2/MJ"/>
    <n v="118"/>
    <s v="kg CO2/kg Kraftstoff"/>
    <n v="14.195399999999999"/>
    <s v="NG to compressed hydrogen_x000a_pathways_x000a_GPCH1b NG 4000 km, on-site reforming"/>
    <n v="2014"/>
    <x v="0"/>
    <x v="0"/>
  </r>
  <r>
    <x v="101"/>
    <x v="22"/>
    <n v="2014"/>
    <x v="4"/>
    <x v="1"/>
    <s v="g CO2/MJ"/>
    <n v="104"/>
    <s v="kg CO2/kg Kraftstoff"/>
    <n v="12.511199999999999"/>
    <s v="NG to compressed hydrogen_x000a_pathways_x000a_GPCH2b NG 4000 km, Central reforming, Pipeline transport"/>
    <n v="2014"/>
    <x v="0"/>
    <x v="0"/>
  </r>
  <r>
    <x v="102"/>
    <x v="22"/>
    <n v="2014"/>
    <x v="4"/>
    <x v="1"/>
    <s v="g CO2/MJ"/>
    <n v="109"/>
    <s v="kg CO2/kg Kraftstoff"/>
    <n v="13.1127"/>
    <s v="NG to compressed hydrogen_x000a_pathways_x000a_GPCH3b NG 4000 km, Central Reforming, Road transport"/>
    <n v="2014"/>
    <x v="0"/>
    <x v="0"/>
  </r>
  <r>
    <x v="103"/>
    <x v="22"/>
    <n v="2014"/>
    <x v="4"/>
    <x v="1"/>
    <s v="g CO2/MJ"/>
    <n v="135"/>
    <s v="kg CO2/kg Kraftstoff"/>
    <n v="16.240500000000001"/>
    <s v="NG to compressed hydrogen_x000a_pathways_x000a_GPLCHb NG 4000 km, Cen Reforming, Liquefaction, Road transport, Vap/compression"/>
    <n v="2014"/>
    <x v="0"/>
    <x v="0"/>
  </r>
  <r>
    <x v="104"/>
    <x v="22"/>
    <n v="2014"/>
    <x v="4"/>
    <x v="1"/>
    <s v="g CO2/MJ"/>
    <n v="125"/>
    <s v="kg CO2/kg Kraftstoff"/>
    <n v="15.0375"/>
    <s v="NG to compressed hydrogen_x000a_pathways_x000a_GRCH1 LNG, on-site reforming"/>
    <n v="2014"/>
    <x v="0"/>
    <x v="0"/>
  </r>
  <r>
    <x v="105"/>
    <x v="22"/>
    <n v="2014"/>
    <x v="4"/>
    <x v="1"/>
    <s v="g CO2/MJ"/>
    <n v="112"/>
    <s v="kg CO2/kg Kraftstoff"/>
    <n v="13.473599999999999"/>
    <s v="NG to compressed hydrogen_x000a_pathways_x000a_GRCH2 LNG, Central reforming, Pipeline transport"/>
    <n v="2014"/>
    <x v="0"/>
    <x v="0"/>
  </r>
  <r>
    <x v="106"/>
    <x v="22"/>
    <n v="2014"/>
    <x v="4"/>
    <x v="1"/>
    <s v="g CO2/MJ"/>
    <n v="118"/>
    <s v="kg CO2/kg Kraftstoff"/>
    <n v="14.195399999999999"/>
    <s v="NG to compressed hydrogen_x000a_pathways_x000a_GRCH3 Remote NG, methanol synthesis, sea and local transport, on-site reforming"/>
    <n v="2014"/>
    <x v="0"/>
    <x v="0"/>
  </r>
  <r>
    <x v="107"/>
    <x v="23"/>
    <n v="2014"/>
    <x v="4"/>
    <x v="1"/>
    <s v="g CO2/MJ"/>
    <n v="127"/>
    <s v="kg CO2/kg Kraftstoff"/>
    <n v="15.2781"/>
    <s v="NG to cryo-compressed hydrogen_x000a_pathways_x000a_GPCH1a NG 7000 km, on-site reforming"/>
    <n v="2014"/>
    <x v="0"/>
    <x v="0"/>
  </r>
  <r>
    <x v="108"/>
    <x v="23"/>
    <n v="2014"/>
    <x v="4"/>
    <x v="1"/>
    <s v="g CO2/MJ"/>
    <n v="118"/>
    <s v="kg CO2/kg Kraftstoff"/>
    <n v="14.195399999999999"/>
    <s v="NG to cryo-compressed hydrogen_x000a_pathways_x000a_GPCH1b NG 4000 km, on-site reforming"/>
    <n v="2014"/>
    <x v="0"/>
    <x v="0"/>
  </r>
  <r>
    <x v="109"/>
    <x v="23"/>
    <n v="2014"/>
    <x v="4"/>
    <x v="1"/>
    <s v="g CO2/MJ"/>
    <n v="104"/>
    <s v="kg CO2/kg Kraftstoff"/>
    <n v="12.511199999999999"/>
    <s v="NG to cryo-compressed hydrogen_x000a_pathways_x000a_GPCH2b NG 4000 km, Central reforming, Pipeline transport"/>
    <n v="2014"/>
    <x v="0"/>
    <x v="0"/>
  </r>
  <r>
    <x v="110"/>
    <x v="23"/>
    <n v="2014"/>
    <x v="4"/>
    <x v="1"/>
    <s v="g CO2/MJ"/>
    <n v="109"/>
    <s v="kg CO2/kg Kraftstoff"/>
    <n v="13.1127"/>
    <s v="NG to cryo-compressed hydrogen_x000a_pathways_x000a_GPCH3b NG 4000 km, Central Reforming, Road transport"/>
    <n v="2014"/>
    <x v="0"/>
    <x v="0"/>
  </r>
  <r>
    <x v="111"/>
    <x v="23"/>
    <n v="2014"/>
    <x v="4"/>
    <x v="1"/>
    <s v="g CO2/MJ"/>
    <n v="135"/>
    <s v="kg CO2/kg Kraftstoff"/>
    <n v="16.240500000000001"/>
    <s v="NG to cryo-compressed hydrogen_x000a_pathways_x000a_GPLCHb NG 4000 km, Cen Reforming, Liquefaction, Road transport, Vap/compression"/>
    <n v="2014"/>
    <x v="0"/>
    <x v="0"/>
  </r>
  <r>
    <x v="112"/>
    <x v="23"/>
    <n v="2014"/>
    <x v="4"/>
    <x v="1"/>
    <s v="g CO2/MJ"/>
    <n v="125"/>
    <s v="kg CO2/kg Kraftstoff"/>
    <n v="15.0375"/>
    <s v="NG to cryo-compressed hydrogen_x000a_pathways_x000a_GRCH1 LNG, on-site reforming"/>
    <n v="2014"/>
    <x v="0"/>
    <x v="0"/>
  </r>
  <r>
    <x v="113"/>
    <x v="23"/>
    <n v="2014"/>
    <x v="4"/>
    <x v="1"/>
    <s v="g CO2/MJ"/>
    <n v="112"/>
    <s v="kg CO2/kg Kraftstoff"/>
    <n v="13.473599999999999"/>
    <s v="NG to cryo-compressed hydrogen_x000a_pathways_x000a_GRCH2 LNG, Central reforming, Pipeline transport"/>
    <n v="2014"/>
    <x v="0"/>
    <x v="0"/>
  </r>
  <r>
    <x v="114"/>
    <x v="23"/>
    <n v="2014"/>
    <x v="4"/>
    <x v="1"/>
    <s v="g CO2/MJ"/>
    <n v="118"/>
    <s v="kg CO2/kg Kraftstoff"/>
    <n v="14.195399999999999"/>
    <s v="NG to cryo-compressed hydrogen_x000a_pathways_x000a_GRCH3 Remote NG, methanol synthesis, sea and local transport, on-site reforming"/>
    <n v="2014"/>
    <x v="0"/>
    <x v="0"/>
  </r>
  <r>
    <x v="115"/>
    <x v="24"/>
    <n v="2014"/>
    <x v="4"/>
    <x v="1"/>
    <s v="g CO2/MJ"/>
    <n v="105"/>
    <s v="kg CO2/kg Kraftstoff"/>
    <n v="12.631499999999999"/>
    <s v="coal and wood to compressed hydrogen pathways_x000a_GPCH2b NG 4000 km, Central reforming, Pipeline transport"/>
    <n v="2014"/>
    <x v="0"/>
    <x v="0"/>
  </r>
  <r>
    <x v="116"/>
    <x v="24"/>
    <n v="2014"/>
    <x v="4"/>
    <x v="1"/>
    <s v="g CO2/MJ"/>
    <n v="238"/>
    <s v="kg CO2/kg Kraftstoff"/>
    <n v="28.631399999999999"/>
    <s v="coal and wood to compressed hydrogen pathways_x000a_KOCH1 Coal EU-mix, Cen gasification, Pipeline transport"/>
    <n v="2014"/>
    <x v="3"/>
    <x v="0"/>
  </r>
  <r>
    <x v="117"/>
    <x v="24"/>
    <n v="2014"/>
    <x v="4"/>
    <x v="1"/>
    <s v="g CO2/MJ"/>
    <n v="18"/>
    <s v="kg CO2/kg Kraftstoff"/>
    <n v="2.1654"/>
    <s v="coal and wood to compressed hydrogen pathways_x000a_WFCH1 Farmed Wood,on-site gasification"/>
    <n v="2014"/>
    <x v="1"/>
    <x v="0"/>
  </r>
  <r>
    <x v="118"/>
    <x v="24"/>
    <n v="2014"/>
    <x v="4"/>
    <x v="1"/>
    <s v="g CO2/MJ"/>
    <n v="18"/>
    <s v="kg CO2/kg Kraftstoff"/>
    <n v="2.1654"/>
    <s v="coal and wood to compressed hydrogen pathways_x000a_WFCH2 Farmed Wood, Central gasification, Pipeline transport"/>
    <n v="2014"/>
    <x v="1"/>
    <x v="0"/>
  </r>
  <r>
    <x v="119"/>
    <x v="24"/>
    <n v="2014"/>
    <x v="4"/>
    <x v="1"/>
    <s v="g CO2/MJ"/>
    <n v="15"/>
    <s v="kg CO2/kg Kraftstoff"/>
    <n v="1.8045"/>
    <s v="coal and wood to compressed hydrogen pathways_x000a_WWCH1 Waste Wood,on-site gasification"/>
    <n v="2014"/>
    <x v="1"/>
    <x v="0"/>
  </r>
  <r>
    <x v="120"/>
    <x v="24"/>
    <n v="2014"/>
    <x v="4"/>
    <x v="1"/>
    <s v="g CO2/MJ"/>
    <n v="16"/>
    <s v="kg CO2/kg Kraftstoff"/>
    <n v="1.9248000000000001"/>
    <s v="coal and wood to compressed hydrogen pathways_x000a_WWCH2 Waste Wood, Central gasification, Pipeline transport"/>
    <n v="2014"/>
    <x v="1"/>
    <x v="0"/>
  </r>
  <r>
    <x v="121"/>
    <x v="24"/>
    <n v="2014"/>
    <x v="4"/>
    <x v="1"/>
    <s v="g CO2/MJ"/>
    <n v="15"/>
    <s v="kg CO2/kg Kraftstoff"/>
    <n v="1.8045"/>
    <s v="coal and wood to compressed hydrogen pathways_x000a_WWCH3 (BLCH1) Waste Wood, via Black Liquor"/>
    <n v="2014"/>
    <x v="1"/>
    <x v="0"/>
  </r>
  <r>
    <x v="122"/>
    <x v="25"/>
    <n v="2014"/>
    <x v="4"/>
    <x v="1"/>
    <s v="g CO2/MJ"/>
    <n v="104"/>
    <s v="kg CO2/kg Kraftstoff"/>
    <n v="12.511199999999999"/>
    <s v="hydrogen via electrolysis pathways_x000a_GPCH2b NG 4000 km, Central reforming, Pipeline transport"/>
    <n v="2014"/>
    <x v="0"/>
    <x v="0"/>
  </r>
  <r>
    <x v="123"/>
    <x v="25"/>
    <n v="2014"/>
    <x v="4"/>
    <x v="1"/>
    <s v="g CO2/MJ"/>
    <n v="204"/>
    <s v="kg CO2/kg Kraftstoff"/>
    <n v="24.541199999999996"/>
    <s v="hydrogen via electrolysis pathways_x000a_GPEL1b/CH1 NG 4000 km, CCGT, on-site electrolysis"/>
    <n v="2014"/>
    <x v="0"/>
    <x v="0"/>
  </r>
  <r>
    <x v="124"/>
    <x v="25"/>
    <n v="2014"/>
    <x v="4"/>
    <x v="1"/>
    <s v="g CO2/MJ"/>
    <n v="200"/>
    <s v="kg CO2/kg Kraftstoff"/>
    <n v="24.060000000000002"/>
    <s v="hydrogen via electrolysis pathways_x000a_GPEL1b/CH2 NG 4000 km, CCGT, central electrolysis, pipeline transport"/>
    <n v="2014"/>
    <x v="0"/>
    <x v="0"/>
  </r>
  <r>
    <x v="125"/>
    <x v="25"/>
    <n v="2014"/>
    <x v="4"/>
    <x v="1"/>
    <s v="g CO2/MJ"/>
    <n v="220"/>
    <s v="kg CO2/kg Kraftstoff"/>
    <n v="26.466000000000001"/>
    <s v="hydrogen via electrolysis pathways_x000a_GREL1/CH1 LNG, CCGT, on-site electrolysis"/>
    <n v="2014"/>
    <x v="0"/>
    <x v="0"/>
  </r>
  <r>
    <x v="126"/>
    <x v="25"/>
    <n v="2014"/>
    <x v="4"/>
    <x v="1"/>
    <s v="g CO2/MJ"/>
    <n v="25"/>
    <s v="kg CO2/kg Kraftstoff"/>
    <n v="3.0075000000000003"/>
    <s v="hydrogen via electrolysis pathways_x000a_WFEL1/CH2 Farmed Wood, 200 MW gasification, CCGT, Central electrolysis, pipeline tranport"/>
    <n v="2014"/>
    <x v="1"/>
    <x v="0"/>
  </r>
  <r>
    <x v="127"/>
    <x v="25"/>
    <n v="2014"/>
    <x v="4"/>
    <x v="1"/>
    <s v="g CO2/MJ"/>
    <n v="20"/>
    <s v="kg CO2/kg Kraftstoff"/>
    <n v="2.4060000000000001"/>
    <s v="hydrogen via electrolysis pathways_x000a_WFEL3/CH1 Farmed Wood, Conventional power plant, on-site electrolysis"/>
    <n v="2014"/>
    <x v="1"/>
    <x v="0"/>
  </r>
  <r>
    <x v="128"/>
    <x v="25"/>
    <n v="2014"/>
    <x v="4"/>
    <x v="1"/>
    <s v="g CO2/MJ"/>
    <n v="225"/>
    <s v="kg CO2/kg Kraftstoff"/>
    <n v="27.067499999999999"/>
    <s v="hydrogen via electrolysis pathways_x000a_EMEL2/CH1 Elec EU-mix, on-site electrolysis"/>
    <n v="2014"/>
    <x v="0"/>
    <x v="0"/>
  </r>
  <r>
    <x v="129"/>
    <x v="25"/>
    <n v="2014"/>
    <x v="4"/>
    <x v="1"/>
    <s v="g CO2/MJ"/>
    <n v="407"/>
    <s v="kg CO2/kg Kraftstoff"/>
    <n v="48.962099999999992"/>
    <s v="hydrogen via electrolysis pathways_x000a_KOEL2/CH1 Coal EU-mix, IGCC, on-site electrolysis"/>
    <n v="2014"/>
    <x v="3"/>
    <x v="0"/>
  </r>
  <r>
    <x v="130"/>
    <x v="25"/>
    <n v="2014"/>
    <x v="4"/>
    <x v="1"/>
    <s v="g CO2/MJ"/>
    <n v="12"/>
    <s v="kg CO2/kg Kraftstoff"/>
    <n v="1.4436"/>
    <s v="hydrogen via electrolysis pathways_x000a_WDEL1/CH2 Wind, Central electrolysis, pipeline transport"/>
    <n v="2014"/>
    <x v="1"/>
    <x v="0"/>
  </r>
  <r>
    <x v="131"/>
    <x v="26"/>
    <n v="2014"/>
    <x v="2"/>
    <x v="1"/>
    <s v="g CO2/MJ"/>
    <n v="31"/>
    <s v="kg CO2/kg Kraftstoff"/>
    <n v="1.4318344215242358"/>
    <s v="Korea"/>
    <n v="2014"/>
    <x v="0"/>
    <x v="1"/>
  </r>
  <r>
    <x v="132"/>
    <x v="26"/>
    <n v="2014"/>
    <x v="3"/>
    <x v="1"/>
    <s v="g CO2/GJ"/>
    <n v="28"/>
    <s v="kg CO2/kg Kraftstoff"/>
    <n v="1.2877144"/>
    <s v="Korea"/>
    <n v="2014"/>
    <x v="0"/>
    <x v="1"/>
  </r>
  <r>
    <x v="133"/>
    <x v="27"/>
    <n v="2015"/>
    <x v="2"/>
    <x v="0"/>
    <s v="KWh/kg"/>
    <n v="13.6"/>
    <s v="MJ/kg"/>
    <n v="48.96"/>
    <m/>
    <n v="2015"/>
    <x v="0"/>
    <x v="0"/>
  </r>
  <r>
    <x v="134"/>
    <x v="27"/>
    <n v="2015"/>
    <x v="3"/>
    <x v="0"/>
    <s v="KWh/kg"/>
    <n v="12.8"/>
    <s v="MJ/kg"/>
    <n v="46.080000000000005"/>
    <m/>
    <n v="2015"/>
    <x v="0"/>
    <x v="0"/>
  </r>
  <r>
    <x v="135"/>
    <x v="28"/>
    <n v="2015"/>
    <x v="0"/>
    <x v="1"/>
    <s v="g CO2/GJ"/>
    <n v="12.3"/>
    <s v="kg CO2/kg Kraftstoff"/>
    <n v="0.52862120000000001"/>
    <s v="Korea. In Europa sind die WTP Emissionen leicht höher."/>
    <n v="2015"/>
    <x v="0"/>
    <x v="0"/>
  </r>
  <r>
    <x v="136"/>
    <x v="28"/>
    <n v="2015"/>
    <x v="1"/>
    <x v="1"/>
    <s v="g CO2/GJ"/>
    <n v="11.3"/>
    <s v="kg CO2/kg Kraftstoff"/>
    <n v="0.48505877777777778"/>
    <s v="Korea. In Europa sind die WTP Emissionen leicht höher."/>
    <n v="2015"/>
    <x v="0"/>
    <x v="0"/>
  </r>
  <r>
    <x v="137"/>
    <x v="29"/>
    <n v="2015"/>
    <x v="4"/>
    <x v="1"/>
    <s v="g CO2/km"/>
    <n v="16"/>
    <s v="kg CO2/kg Kraftstoff"/>
    <n v="1.2544000000000002"/>
    <s v="Kanada: CH2 Thermochemical; electricity from nuclear._x000a_*78,4km/kg /1000"/>
    <n v="2015"/>
    <x v="1"/>
    <x v="0"/>
  </r>
  <r>
    <x v="138"/>
    <x v="29"/>
    <n v="2015"/>
    <x v="4"/>
    <x v="1"/>
    <s v="g CO2/km"/>
    <n v="620"/>
    <s v="kg CO2/kg Kraftstoff"/>
    <n v="48.607999999999997"/>
    <s v="USA: CH2 Electrolysis, electricity from fossils_x000a_*78,4km/kg /1000"/>
    <n v="2015"/>
    <x v="3"/>
    <x v="0"/>
  </r>
  <r>
    <x v="139"/>
    <x v="30"/>
    <n v="2016"/>
    <x v="2"/>
    <x v="0"/>
    <s v="MJ/kg"/>
    <n v="42.04"/>
    <s v="MJ/kg"/>
    <n v="42.04"/>
    <s v="Berechnung basiert auf:_x000a_- basiert auf ISO 6976:2016 - Erdgas_x000a_- Exceltool von Anhang D der Norm_x000a_- Volumenzusammensetzung der Erdgase je nach Herkunf (Dubbel; Anh. L2 Tabelle 6. Eigenschaften von Erdgasen)"/>
    <n v="2015"/>
    <x v="0"/>
    <x v="0"/>
  </r>
  <r>
    <x v="140"/>
    <x v="31"/>
    <n v="2016"/>
    <x v="2"/>
    <x v="0"/>
    <s v="MJ/m³"/>
    <n v="35.868000000000002"/>
    <s v="MJ/kg"/>
    <n v="46.947643979057595"/>
    <s v="bei ISO-Referenzbedingungen: Verbrennung, Volumenmessung bei 15°C bzw. 103,325kPa und_x000a_Dichte = 0,764 kg/m³."/>
    <n v="2016"/>
    <x v="0"/>
    <x v="0"/>
  </r>
  <r>
    <x v="141"/>
    <x v="32"/>
    <n v="2016"/>
    <x v="0"/>
    <x v="1"/>
    <s v="g CO2/MJ"/>
    <n v="11.702777777777778"/>
    <s v="kg CO2/kg Kraftstoff"/>
    <n v="0.50295418148148152"/>
    <s v="- auf was beziehen sich die MJ?_x000a_- /1000*H_i"/>
    <n v="2016"/>
    <x v="0"/>
    <x v="0"/>
  </r>
  <r>
    <x v="142"/>
    <x v="33"/>
    <n v="2016"/>
    <x v="0"/>
    <x v="2"/>
    <s v="kg/l"/>
    <n v="0.74199999999999999"/>
    <s v="kg/l"/>
    <n v="0.74199999999999999"/>
    <m/>
    <n v="2016"/>
    <x v="0"/>
    <x v="0"/>
  </r>
  <r>
    <x v="143"/>
    <x v="33"/>
    <n v="2016"/>
    <x v="1"/>
    <x v="2"/>
    <s v="kg/l"/>
    <n v="0.83199999999999996"/>
    <s v="kg/l"/>
    <n v="0.83199999999999996"/>
    <m/>
    <n v="2016"/>
    <x v="0"/>
    <x v="0"/>
  </r>
  <r>
    <x v="144"/>
    <x v="33"/>
    <n v="2016"/>
    <x v="2"/>
    <x v="2"/>
    <s v="kg/m³"/>
    <n v="0.71599999999999997"/>
    <s v="kg/l"/>
    <n v="7.1599999999999995E-4"/>
    <s v="bei Normdruck"/>
    <n v="2016"/>
    <x v="0"/>
    <x v="0"/>
  </r>
  <r>
    <x v="145"/>
    <x v="33"/>
    <n v="2016"/>
    <x v="3"/>
    <x v="2"/>
    <s v="kg/l"/>
    <n v="0.6"/>
    <s v="kg/l"/>
    <n v="0.6"/>
    <m/>
    <n v="2016"/>
    <x v="0"/>
    <x v="0"/>
  </r>
  <r>
    <x v="146"/>
    <x v="33"/>
    <n v="2016"/>
    <x v="8"/>
    <x v="2"/>
    <s v="kg/l"/>
    <n v="0.79"/>
    <s v="kg/l"/>
    <n v="0.79"/>
    <m/>
    <n v="2016"/>
    <x v="0"/>
    <x v="0"/>
  </r>
  <r>
    <x v="147"/>
    <x v="33"/>
    <n v="2016"/>
    <x v="9"/>
    <x v="2"/>
    <s v="kg/l"/>
    <n v="0.879"/>
    <s v="kg/l"/>
    <n v="0.879"/>
    <m/>
    <n v="2016"/>
    <x v="0"/>
    <x v="0"/>
  </r>
  <r>
    <x v="148"/>
    <x v="33"/>
    <n v="2016"/>
    <x v="0"/>
    <x v="0"/>
    <s v="MJ/kg"/>
    <n v="43.542999999999999"/>
    <s v="MJ/kg"/>
    <n v="43.542999999999999"/>
    <m/>
    <n v="2016"/>
    <x v="0"/>
    <x v="0"/>
  </r>
  <r>
    <x v="149"/>
    <x v="33"/>
    <n v="2016"/>
    <x v="1"/>
    <x v="0"/>
    <s v="MJ/kg"/>
    <n v="42.96"/>
    <s v="MJ/kg"/>
    <n v="42.96"/>
    <m/>
    <n v="2016"/>
    <x v="0"/>
    <x v="0"/>
  </r>
  <r>
    <x v="150"/>
    <x v="33"/>
    <n v="2016"/>
    <x v="2"/>
    <x v="0"/>
    <s v="MJ/kg"/>
    <n v="46.5"/>
    <s v="MJ/kg"/>
    <n v="46.5"/>
    <m/>
    <n v="2016"/>
    <x v="0"/>
    <x v="0"/>
  </r>
  <r>
    <x v="151"/>
    <x v="33"/>
    <n v="2016"/>
    <x v="3"/>
    <x v="0"/>
    <s v="MJ/kg"/>
    <n v="45.969000000000001"/>
    <s v="MJ/kg"/>
    <n v="45.969000000000001"/>
    <m/>
    <n v="2016"/>
    <x v="0"/>
    <x v="0"/>
  </r>
  <r>
    <x v="152"/>
    <x v="33"/>
    <n v="2016"/>
    <x v="8"/>
    <x v="0"/>
    <s v="MJ/kg"/>
    <n v="26.658000000000001"/>
    <s v="MJ/kg"/>
    <n v="26.658000000000001"/>
    <m/>
    <n v="2016"/>
    <x v="0"/>
    <x v="0"/>
  </r>
  <r>
    <x v="153"/>
    <x v="33"/>
    <n v="2016"/>
    <x v="9"/>
    <x v="0"/>
    <s v="MJ/kg"/>
    <n v="37.241999999999997"/>
    <s v="MJ/kg"/>
    <n v="37.241999999999997"/>
    <m/>
    <n v="2016"/>
    <x v="0"/>
    <x v="0"/>
  </r>
  <r>
    <x v="154"/>
    <x v="34"/>
    <n v="2016"/>
    <x v="0"/>
    <x v="3"/>
    <s v="g CO2/MJ"/>
    <n v="73.099999999999994"/>
    <s v="g CO2/J"/>
    <n v="7.3099999999999988E-5"/>
    <m/>
    <n v="2016"/>
    <x v="0"/>
    <x v="0"/>
  </r>
  <r>
    <x v="155"/>
    <x v="34"/>
    <n v="2016"/>
    <x v="1"/>
    <x v="3"/>
    <s v="g CO2/MJ"/>
    <n v="74"/>
    <s v="g CO2/J"/>
    <n v="7.3999999999999996E-5"/>
    <m/>
    <n v="2016"/>
    <x v="0"/>
    <x v="0"/>
  </r>
  <r>
    <x v="156"/>
    <x v="34"/>
    <n v="2016"/>
    <x v="3"/>
    <x v="3"/>
    <s v="g CO2/MJ"/>
    <n v="65"/>
    <s v="g CO2/J"/>
    <n v="6.4999999999999994E-5"/>
    <m/>
    <n v="2016"/>
    <x v="0"/>
    <x v="0"/>
  </r>
  <r>
    <x v="157"/>
    <x v="33"/>
    <n v="2016"/>
    <x v="0"/>
    <x v="3"/>
    <s v="kg CO2/TJ"/>
    <n v="73091"/>
    <s v="g CO2/J"/>
    <n v="7.3090999999999995E-5"/>
    <m/>
    <n v="2016"/>
    <x v="0"/>
    <x v="0"/>
  </r>
  <r>
    <x v="158"/>
    <x v="33"/>
    <n v="2016"/>
    <x v="1"/>
    <x v="3"/>
    <s v="kg CO2/TJ"/>
    <n v="74027"/>
    <s v="g CO2/J"/>
    <n v="7.4027000000000001E-5"/>
    <m/>
    <n v="2016"/>
    <x v="0"/>
    <x v="0"/>
  </r>
  <r>
    <x v="159"/>
    <x v="33"/>
    <n v="2016"/>
    <x v="2"/>
    <x v="3"/>
    <s v="kg CO2/TJ"/>
    <n v="55944"/>
    <s v="g CO2/J"/>
    <n v="5.5943999999999998E-5"/>
    <m/>
    <n v="2016"/>
    <x v="0"/>
    <x v="0"/>
  </r>
  <r>
    <x v="160"/>
    <x v="33"/>
    <n v="2016"/>
    <x v="3"/>
    <x v="3"/>
    <s v="kg CO2/TJ"/>
    <n v="65523"/>
    <s v="g CO2/J"/>
    <n v="6.5523000000000003E-5"/>
    <m/>
    <n v="2016"/>
    <x v="0"/>
    <x v="0"/>
  </r>
  <r>
    <x v="161"/>
    <x v="33"/>
    <n v="2016"/>
    <x v="8"/>
    <x v="3"/>
    <s v="kg CO2/TJ"/>
    <n v="71607"/>
    <s v="g CO2/J"/>
    <n v="7.1606999999999994E-5"/>
    <m/>
    <n v="2016"/>
    <x v="0"/>
    <x v="0"/>
  </r>
  <r>
    <x v="162"/>
    <x v="33"/>
    <n v="2016"/>
    <x v="9"/>
    <x v="3"/>
    <s v="kg CO2/TJ"/>
    <n v="70800"/>
    <s v="g CO2/J"/>
    <n v="7.08E-5"/>
    <m/>
    <n v="2016"/>
    <x v="0"/>
    <x v="0"/>
  </r>
  <r>
    <x v="163"/>
    <x v="35"/>
    <n v="2017"/>
    <x v="2"/>
    <x v="1"/>
    <s v="g CO2/GJ"/>
    <n v="12500"/>
    <s v="kg CO2/kg Kraftstoff"/>
    <n v="0.57735258932428868"/>
    <s v="Nordeuropa_x000a_evtl. präzisere Berechnung vornehemen/ anteilig"/>
    <n v="2015"/>
    <x v="0"/>
    <x v="0"/>
  </r>
  <r>
    <x v="164"/>
    <x v="35"/>
    <n v="2017"/>
    <x v="2"/>
    <x v="1"/>
    <s v="g CO2/GJ"/>
    <n v="18500"/>
    <s v="kg CO2/kg Kraftstoff"/>
    <n v="0.85448183219994711"/>
    <s v="Zentraleuropa_x000a_evtl. präzisere Berechnung vornehemen/ anteilig"/>
    <n v="2015"/>
    <x v="0"/>
    <x v="0"/>
  </r>
  <r>
    <x v="165"/>
    <x v="35"/>
    <n v="2017"/>
    <x v="2"/>
    <x v="1"/>
    <s v="g CO2/GJ"/>
    <n v="28000"/>
    <s v="kg CO2/kg Kraftstoff"/>
    <n v="1.2932698000864065"/>
    <s v="Süd-Ost-Europa_x000a_evtl. präzisere Berechnung vornehemen/ anteilig"/>
    <n v="2015"/>
    <x v="0"/>
    <x v="0"/>
  </r>
  <r>
    <x v="166"/>
    <x v="35"/>
    <n v="2017"/>
    <x v="2"/>
    <x v="1"/>
    <s v="g CO2/GJ"/>
    <n v="19000"/>
    <s v="kg CO2/kg Kraftstoff"/>
    <n v="0.8775759357729187"/>
    <s v="Süd-West-Europa_x000a_evtl. präzisere Berechnung vornehemen/ anteilig"/>
    <n v="2015"/>
    <x v="0"/>
    <x v="0"/>
  </r>
  <r>
    <x v="167"/>
    <x v="36"/>
    <n v="2017"/>
    <x v="1"/>
    <x v="1"/>
    <s v="g CO2/GJ"/>
    <n v="17500"/>
    <s v="kg CO2/kg Kraftstoff"/>
    <n v="0.75119722222222229"/>
    <s v="Europa"/>
    <n v="2015"/>
    <x v="0"/>
    <x v="0"/>
  </r>
  <r>
    <x v="168"/>
    <x v="37"/>
    <n v="2017"/>
    <x v="0"/>
    <x v="0"/>
    <s v="MJ/kg"/>
    <n v="41"/>
    <s v="MJ/kg"/>
    <n v="41"/>
    <m/>
    <n v="2017"/>
    <x v="0"/>
    <x v="0"/>
  </r>
  <r>
    <x v="169"/>
    <x v="38"/>
    <n v="2017"/>
    <x v="1"/>
    <x v="0"/>
    <s v="MJ/kg"/>
    <n v="43"/>
    <s v="MJ/kg"/>
    <n v="43"/>
    <m/>
    <n v="2017"/>
    <x v="0"/>
    <x v="0"/>
  </r>
  <r>
    <x v="170"/>
    <x v="39"/>
    <n v="2017"/>
    <x v="2"/>
    <x v="0"/>
    <s v="MJ/kg"/>
    <n v="47.7"/>
    <s v="MJ/kg"/>
    <n v="47.7"/>
    <m/>
    <n v="2017"/>
    <x v="0"/>
    <x v="0"/>
  </r>
  <r>
    <x v="171"/>
    <x v="40"/>
    <n v="2017"/>
    <x v="3"/>
    <x v="0"/>
    <s v="MJ/kg"/>
    <n v="45.8"/>
    <s v="MJ/kg"/>
    <n v="45.8"/>
    <s v="Propan/Butan = 50/50"/>
    <n v="2017"/>
    <x v="0"/>
    <x v="0"/>
  </r>
  <r>
    <x v="172"/>
    <x v="41"/>
    <n v="2017"/>
    <x v="4"/>
    <x v="0"/>
    <s v="MJ/kg"/>
    <n v="119.97"/>
    <s v="MJ/kg"/>
    <n v="119.97"/>
    <m/>
    <n v="2017"/>
    <x v="0"/>
    <x v="0"/>
  </r>
  <r>
    <x v="173"/>
    <x v="32"/>
    <n v="2017"/>
    <x v="0"/>
    <x v="3"/>
    <s v="g CO2/MJ"/>
    <n v="72"/>
    <s v="g CO2/J"/>
    <n v="7.2000000000000002E-5"/>
    <m/>
    <n v="2017"/>
    <x v="0"/>
    <x v="0"/>
  </r>
  <r>
    <x v="174"/>
    <x v="42"/>
    <n v="2018"/>
    <x v="0"/>
    <x v="0"/>
    <s v="MJ/kg"/>
    <n v="42.9"/>
    <s v="MJ/kg"/>
    <n v="42.9"/>
    <m/>
    <n v="2018"/>
    <x v="0"/>
    <x v="0"/>
  </r>
  <r>
    <x v="175"/>
    <x v="42"/>
    <n v="2018"/>
    <x v="2"/>
    <x v="0"/>
    <s v="MJ/kg"/>
    <n v="47.1"/>
    <s v="MJ/kg"/>
    <n v="47.1"/>
    <m/>
    <n v="2018"/>
    <x v="0"/>
    <x v="0"/>
  </r>
  <r>
    <x v="176"/>
    <x v="42"/>
    <n v="2018"/>
    <x v="1"/>
    <x v="0"/>
    <s v="MJ/kg"/>
    <n v="44.41"/>
    <s v="MJ/kg"/>
    <n v="44.41"/>
    <m/>
    <n v="2018"/>
    <x v="0"/>
    <x v="0"/>
  </r>
  <r>
    <x v="177"/>
    <x v="43"/>
    <n v="2018"/>
    <x v="2"/>
    <x v="0"/>
    <s v="MJ/m³"/>
    <n v="35.588000000000001"/>
    <s v="MJ/kg"/>
    <m/>
    <s v="Methan/Erdgas: Rohbrennstoff_x000a_nicht verwendet, weil &quot;Rohbrennstoff&quot; sich von &quot;Reinsubstanz&quot; unterscheidet"/>
    <n v="2018"/>
    <x v="0"/>
    <x v="1"/>
  </r>
  <r>
    <x v="178"/>
    <x v="43"/>
    <n v="2018"/>
    <x v="2"/>
    <x v="0"/>
    <s v="MJ/m³"/>
    <n v="39.774999999999999"/>
    <s v="MJ/kg"/>
    <n v="51.05484177225933"/>
    <s v="Methan/Erdgas: Reinsubstanz_x000a_mit Mittelwert der Dichte umgerechnet"/>
    <n v="2018"/>
    <x v="0"/>
    <x v="0"/>
  </r>
  <r>
    <x v="179"/>
    <x v="43"/>
    <n v="2018"/>
    <x v="3"/>
    <x v="2"/>
    <s v="g/cm³"/>
    <n v="0.57999999999999996"/>
    <s v="kg/l"/>
    <n v="0.57999999999999996"/>
    <s v="bei 15°C, im flüssigen Zustand."/>
    <n v="2018"/>
    <x v="0"/>
    <x v="0"/>
  </r>
  <r>
    <x v="180"/>
    <x v="43"/>
    <n v="2018"/>
    <x v="3"/>
    <x v="0"/>
    <s v="MJ/kg"/>
    <n v="46"/>
    <s v="MJ/kg"/>
    <n v="46"/>
    <m/>
    <n v="2018"/>
    <x v="0"/>
    <x v="0"/>
  </r>
  <r>
    <x v="181"/>
    <x v="43"/>
    <n v="2018"/>
    <x v="0"/>
    <x v="0"/>
    <s v="MJ/kg"/>
    <n v="42.5"/>
    <s v="MJ/kg"/>
    <n v="42.5"/>
    <m/>
    <n v="2018"/>
    <x v="0"/>
    <x v="0"/>
  </r>
  <r>
    <x v="182"/>
    <x v="43"/>
    <n v="2018"/>
    <x v="0"/>
    <x v="2"/>
    <s v="g/cm³"/>
    <n v="0.76"/>
    <s v="kg/l"/>
    <n v="0.76"/>
    <s v="als 0,7…0,8 angegeben"/>
    <n v="2018"/>
    <x v="0"/>
    <x v="0"/>
  </r>
  <r>
    <x v="183"/>
    <x v="43"/>
    <n v="2018"/>
    <x v="10"/>
    <x v="2"/>
    <s v="g/cm³"/>
    <n v="0.83"/>
    <s v="kg/l"/>
    <n v="0.83"/>
    <m/>
    <n v="2018"/>
    <x v="0"/>
    <x v="0"/>
  </r>
  <r>
    <x v="184"/>
    <x v="44"/>
    <n v="2018"/>
    <x v="2"/>
    <x v="2"/>
    <s v="kg/m³"/>
    <n v="0.84212842109763497"/>
    <s v="kg/l"/>
    <n v="8.4212842109763499E-4"/>
    <s v="bei Normdruck"/>
    <n v="2018"/>
    <x v="0"/>
    <x v="0"/>
  </r>
  <r>
    <x v="185"/>
    <x v="45"/>
    <n v="2019"/>
    <x v="0"/>
    <x v="1"/>
    <s v="kg CO2/kg Kraftstoff"/>
    <n v="0.76329000000000002"/>
    <s v="kg CO2/kg Kraftstoff"/>
    <n v="0.76329000000000002"/>
    <s v="Benzin bleifrei"/>
    <n v="2019"/>
    <x v="0"/>
    <x v="0"/>
  </r>
  <r>
    <x v="186"/>
    <x v="45"/>
    <n v="2019"/>
    <x v="1"/>
    <x v="1"/>
    <s v="kg CO2/kg Kraftstoff"/>
    <n v="0.54484999999999995"/>
    <s v="kg CO2/kg Kraftstoff"/>
    <n v="0.54484999999999995"/>
    <m/>
    <n v="2019"/>
    <x v="0"/>
    <x v="0"/>
  </r>
  <r>
    <x v="187"/>
    <x v="43"/>
    <n v="2019"/>
    <x v="1"/>
    <x v="0"/>
    <s v="MJ/kg"/>
    <n v="43"/>
    <s v="MJ/kg"/>
    <n v="43"/>
    <m/>
    <n v="2019"/>
    <x v="0"/>
    <x v="0"/>
  </r>
  <r>
    <x v="188"/>
    <x v="46"/>
    <n v="2019"/>
    <x v="4"/>
    <x v="1"/>
    <s v="kg CO2/kg Kraftstoff"/>
    <n v="29.5"/>
    <s v="kg CO2/kg Kraftstoff"/>
    <n v="29.5"/>
    <s v="Strommix Deutschland 2017"/>
    <n v="2017"/>
    <x v="0"/>
    <x v="0"/>
  </r>
  <r>
    <x v="189"/>
    <x v="46"/>
    <n v="2019"/>
    <x v="4"/>
    <x v="1"/>
    <s v="kg CO2/kg Kraftstoff"/>
    <n v="11.6"/>
    <s v="kg CO2/kg Kraftstoff"/>
    <n v="11.6"/>
    <s v="Deutschland 2050 baseload"/>
    <n v="2050"/>
    <x v="0"/>
    <x v="0"/>
  </r>
  <r>
    <x v="190"/>
    <x v="46"/>
    <n v="2019"/>
    <x v="4"/>
    <x v="1"/>
    <s v="kg CO2/kg Kraftstoff"/>
    <n v="3"/>
    <s v="kg CO2/kg Kraftstoff"/>
    <n v="3"/>
    <s v="Deutschland 2050 using 3000h of excess power from renewables "/>
    <n v="2050"/>
    <x v="1"/>
    <x v="0"/>
  </r>
  <r>
    <x v="191"/>
    <x v="47"/>
    <m/>
    <x v="8"/>
    <x v="1"/>
    <s v="kg CO2/kg Kraftstoff"/>
    <n v="1.05297"/>
    <s v="kg CO2/kg Kraftstoff"/>
    <n v="1.05297"/>
    <s v="Meisel, Kathleen; Braune, Maria. Technische und methodische Grundlagen der THG-Bilanzierung von Biotethanol. Tabelle 11"/>
    <m/>
    <x v="0"/>
    <x v="0"/>
  </r>
  <r>
    <x v="192"/>
    <x v="47"/>
    <m/>
    <x v="9"/>
    <x v="1"/>
    <s v="kg CO2/kg Kraftstoff"/>
    <n v="1.58406"/>
    <s v="kg CO2/kg Kraftstoff"/>
    <n v="1.58406"/>
    <s v="Meisel, Kathleen; Braune, Maria. Technische und methodische Grundlagen der THG-Bilanzierung von Biotethanol. Tabelle 12"/>
    <m/>
    <x v="0"/>
    <x v="0"/>
  </r>
  <r>
    <x v="193"/>
    <x v="48"/>
    <n v="2008"/>
    <x v="0"/>
    <x v="1"/>
    <s v="g CO2/liter"/>
    <n v="638"/>
    <s v="kg CO2/kg Kraftstoff"/>
    <n v="0.85608856088560892"/>
    <s v="/1000/Dichte"/>
    <n v="2008"/>
    <x v="0"/>
    <x v="0"/>
  </r>
  <r>
    <x v="194"/>
    <x v="48"/>
    <n v="2008"/>
    <x v="1"/>
    <x v="1"/>
    <s v="g CO2/liter"/>
    <n v="468"/>
    <s v="kg CO2/kg Kraftstoff"/>
    <n v="0.55913978494623662"/>
    <s v="/1000/Dichte"/>
    <n v="2008"/>
    <x v="0"/>
    <x v="0"/>
  </r>
  <r>
    <x v="195"/>
    <x v="48"/>
    <n v="2008"/>
    <x v="8"/>
    <x v="1"/>
    <s v="g CO2/kWh Kraftstoff"/>
    <n v="130"/>
    <s v="kg CO2/kg Kraftstoff"/>
    <n v="0.96732638888888889"/>
    <s v="/3,6/1000*Heizwert"/>
    <n v="2008"/>
    <x v="0"/>
    <x v="0"/>
  </r>
  <r>
    <x v="196"/>
    <x v="48"/>
    <n v="2008"/>
    <x v="9"/>
    <x v="1"/>
    <s v="g CO2/kWh Kraftstoff"/>
    <n v="150"/>
    <s v="kg CO2/kg Kraftstoff"/>
    <n v="1.5517499999999997"/>
    <s v="/3,6/1000*Heizwert"/>
    <n v="2008"/>
    <x v="0"/>
    <x v="0"/>
  </r>
  <r>
    <x v="197"/>
    <x v="48"/>
    <n v="2008"/>
    <x v="0"/>
    <x v="3"/>
    <s v="g CO2/liter"/>
    <n v="2333"/>
    <s v="g CO2/J"/>
    <n v="7.3159607818509481E-5"/>
    <s v="/Dichte/H_i"/>
    <n v="2008"/>
    <x v="0"/>
    <x v="0"/>
  </r>
  <r>
    <x v="198"/>
    <x v="48"/>
    <n v="2008"/>
    <x v="1"/>
    <x v="3"/>
    <s v="g CO2/liter"/>
    <n v="2637"/>
    <s v="g CO2/J"/>
    <n v="7.3836462052171429E-5"/>
    <s v="/Dichte/H_i"/>
    <n v="2008"/>
    <x v="0"/>
    <x v="0"/>
  </r>
  <r>
    <x v="199"/>
    <x v="48"/>
    <n v="2008"/>
    <x v="3"/>
    <x v="3"/>
    <s v="g CO2/liter"/>
    <n v="1544"/>
    <s v="g CO2/J"/>
    <n v="5.5954436273550516E-5"/>
    <s v="/Dichte/H_i"/>
    <n v="2008"/>
    <x v="0"/>
    <x v="0"/>
  </r>
  <r>
    <x v="200"/>
    <x v="49"/>
    <n v="2010"/>
    <x v="4"/>
    <x v="1"/>
    <s v="kg CO2/GJ"/>
    <n v="132"/>
    <s v="kg CO2/kg Kraftstoff"/>
    <n v="15.8796"/>
    <s v="/1000*H_i"/>
    <n v="2010"/>
    <x v="0"/>
    <x v="0"/>
  </r>
  <r>
    <x v="201"/>
    <x v="49"/>
    <n v="2010"/>
    <x v="0"/>
    <x v="1"/>
    <s v="kg CO2/GJ"/>
    <n v="16.7"/>
    <s v="kg CO2/kg Kraftstoff"/>
    <n v="0.7177214666666667"/>
    <s v="/1000*H_i"/>
    <n v="2010"/>
    <x v="0"/>
    <x v="0"/>
  </r>
  <r>
    <x v="202"/>
    <x v="50"/>
    <n v="2014"/>
    <x v="4"/>
    <x v="1"/>
    <s v="g CO2/MJ"/>
    <n v="69.457999999999998"/>
    <s v="kg CO2/kg Kraftstoff"/>
    <n v="8.3557973999999984"/>
    <s v="in Portugal_x000a_/1000*H_i"/>
    <n v="2014"/>
    <x v="0"/>
    <x v="0"/>
  </r>
  <r>
    <x v="203"/>
    <x v="51"/>
    <n v="2006"/>
    <x v="4"/>
    <x v="1"/>
    <s v="g CO2/MJ"/>
    <n v="36"/>
    <s v="kg CO2/kg Kraftstoff"/>
    <n v="4.3308"/>
    <s v="in den USA 2006_x000a_/1000*H_i"/>
    <n v="2006"/>
    <x v="1"/>
    <x v="0"/>
  </r>
  <r>
    <x v="204"/>
    <x v="51"/>
    <n v="2006"/>
    <x v="0"/>
    <x v="1"/>
    <s v="g CO2/MJ"/>
    <n v="4.9000000000000004"/>
    <s v="kg CO2/kg Kraftstoff"/>
    <n v="0.21058893333333337"/>
    <s v="in den USA 2006_x000a_/1000*H_i"/>
    <n v="2006"/>
    <x v="0"/>
    <x v="1"/>
  </r>
  <r>
    <x v="205"/>
    <x v="51"/>
    <n v="2006"/>
    <x v="1"/>
    <x v="1"/>
    <s v="g CO2/MJ"/>
    <n v="3.3"/>
    <s v="kg CO2/kg Kraftstoff"/>
    <n v="0.14165433333333333"/>
    <s v="in den USA 2006_x000a_/1000*H_i"/>
    <n v="2006"/>
    <x v="2"/>
    <x v="1"/>
  </r>
  <r>
    <x v="206"/>
    <x v="52"/>
    <n v="2006"/>
    <x v="0"/>
    <x v="0"/>
    <s v="MJ/kg"/>
    <n v="43.5"/>
    <s v="MJ/kg"/>
    <n v="43.5"/>
    <m/>
    <n v="2006"/>
    <x v="0"/>
    <x v="0"/>
  </r>
  <r>
    <x v="207"/>
    <x v="52"/>
    <n v="2006"/>
    <x v="1"/>
    <x v="0"/>
    <s v="MJ/kg"/>
    <n v="42.9"/>
    <s v="MJ/kg"/>
    <n v="42.9"/>
    <m/>
    <n v="2006"/>
    <x v="0"/>
    <x v="0"/>
  </r>
  <r>
    <x v="208"/>
    <x v="52"/>
    <n v="2006"/>
    <x v="2"/>
    <x v="0"/>
    <s v="MJ/kg"/>
    <n v="35.200000000000003"/>
    <s v="MJ/kg"/>
    <n v="35.200000000000003"/>
    <s v="Bezugsland: Deutschland"/>
    <n v="2006"/>
    <x v="0"/>
    <x v="0"/>
  </r>
  <r>
    <x v="209"/>
    <x v="53"/>
    <n v="2006"/>
    <x v="0"/>
    <x v="1"/>
    <s v="g CO2/km"/>
    <n v="25"/>
    <s v="kg CO2/kg Kraftstoff"/>
    <n v="0.57394943019943023"/>
    <s v="Situation in Deutschland_x000a_Verbrauch: 52kWh/100km_x000a_/Verbrauch*Heizwert/1000"/>
    <n v="2006"/>
    <x v="0"/>
    <x v="0"/>
  </r>
  <r>
    <x v="210"/>
    <x v="53"/>
    <n v="2006"/>
    <x v="1"/>
    <x v="1"/>
    <s v="g CO2/km"/>
    <n v="20"/>
    <s v="kg CO2/kg Kraftstoff"/>
    <n v="0.48668430335097002"/>
    <s v="Situation in Deutschland_x000a_Verbrauch: 49kWh/100km_x000a_/Verbrauch*Heizwert/1000"/>
    <n v="2006"/>
    <x v="0"/>
    <x v="0"/>
  </r>
  <r>
    <x v="211"/>
    <x v="53"/>
    <n v="2006"/>
    <x v="2"/>
    <x v="1"/>
    <s v="g CO2/km"/>
    <n v="20"/>
    <s v="kg CO2/kg Kraftstoff"/>
    <n v="0.57022477957954432"/>
    <s v="Situation in Deutschland_x000a_Verbrauch: 45kWh/100km_x000a_/Verbrauch*Heizwert/1000"/>
    <n v="2006"/>
    <x v="0"/>
    <x v="0"/>
  </r>
  <r>
    <x v="212"/>
    <x v="53"/>
    <n v="2006"/>
    <x v="4"/>
    <x v="1"/>
    <s v="g CO2/km"/>
    <n v="155"/>
    <s v="kg CO2/kg Kraftstoff"/>
    <n v="17.265277777777776"/>
    <s v="aus Erdgas_x000a_Verbrauch: 30kWh/100km_x000a_/Verbrauch*Heizwert/1000"/>
    <n v="2006"/>
    <x v="0"/>
    <x v="0"/>
  </r>
  <r>
    <x v="213"/>
    <x v="53"/>
    <n v="2006"/>
    <x v="4"/>
    <x v="1"/>
    <s v="g CO2/km"/>
    <n v="100"/>
    <s v="kg CO2/kg Kraftstoff"/>
    <n v="11.138888888888888"/>
    <s v="aus Holz_x000a_Verbrauch: 30kWh/100km_x000a_/Verbrauch*Heizwert/1000"/>
    <n v="2006"/>
    <x v="1"/>
    <x v="0"/>
  </r>
  <r>
    <x v="214"/>
    <x v="53"/>
    <n v="2006"/>
    <x v="4"/>
    <x v="1"/>
    <s v="g CO2/km"/>
    <n v="15"/>
    <s v="kg CO2/kg Kraftstoff"/>
    <n v="1.6708333333333332"/>
    <s v="aus Windkraft_x000a_Verbrauch: 30kWh/100km_x000a_/Verbrauch*Heizwert/1000"/>
    <n v="2006"/>
    <x v="1"/>
    <x v="0"/>
  </r>
  <r>
    <x v="215"/>
    <x v="53"/>
    <n v="2006"/>
    <x v="4"/>
    <x v="1"/>
    <s v="g CO2/km"/>
    <n v="20"/>
    <s v="kg CO2/kg Kraftstoff"/>
    <n v="2.2277777777777779"/>
    <s v="aus solarthermischer Kraft_x000a_Verbrauch: 30kWh/100km_x000a_/Verbrauch*Heizwert/1000"/>
    <n v="2006"/>
    <x v="1"/>
    <x v="0"/>
  </r>
  <r>
    <x v="216"/>
    <x v="54"/>
    <n v="2015"/>
    <x v="4"/>
    <x v="1"/>
    <s v="kg CO2/MJ"/>
    <n v="4.2999999999999997E-2"/>
    <s v="kg CO2/kg Kraftstoff"/>
    <n v="5.1728999999999994"/>
    <s v="Strommix: USA: Ontario in 2014-2015: (13% Fossil, 60% Nuklear, 23% Wasserkraft…)_x000a_Wasserstofferzeugung bei niedrigen Preisen"/>
    <n v="2015"/>
    <x v="1"/>
    <x v="0"/>
  </r>
  <r>
    <x v="217"/>
    <x v="54"/>
    <n v="2015"/>
    <x v="4"/>
    <x v="1"/>
    <s v="kg CO2/MJ"/>
    <n v="3.1E-2"/>
    <s v="kg CO2/kg Kraftstoff"/>
    <n v="3.7292999999999998"/>
    <s v="Strommix: USA: Ontario in 2014-2015: (13% Fossil, 60% Nuklear, 23% Wasserkraft…)_x000a_Wasserstofferzeugung bei niedrigen Emissionen"/>
    <n v="2015"/>
    <x v="1"/>
    <x v="0"/>
  </r>
  <r>
    <x v="218"/>
    <x v="54"/>
    <n v="2015"/>
    <x v="4"/>
    <x v="1"/>
    <s v="kg CO2/MJ"/>
    <n v="0.06"/>
    <s v="kg CO2/kg Kraftstoff"/>
    <n v="7.218"/>
    <s v="Strommix: USA: Ontario in 2014-2015: (13% Fossil, 60% Nuklear, 23% Wasserkraft…)"/>
    <n v="2015"/>
    <x v="0"/>
    <x v="0"/>
  </r>
  <r>
    <x v="219"/>
    <x v="55"/>
    <n v="2006"/>
    <x v="4"/>
    <x v="1"/>
    <s v="kg CO2/km"/>
    <n v="0.1149"/>
    <s v="kg CO2/kg Kraftstoff"/>
    <m/>
    <s v="USA: steam reforming of natural gas in a central plant"/>
    <n v="2006"/>
    <x v="2"/>
    <x v="1"/>
  </r>
  <r>
    <x v="220"/>
    <x v="56"/>
    <n v="2006"/>
    <x v="4"/>
    <x v="1"/>
    <s v="kg CO2/km"/>
    <n v="0.46526666666666672"/>
    <s v="kg CO2/kg Kraftstoff"/>
    <m/>
    <s v="USA: electrolysis of water with electicity from coal"/>
    <n v="2006"/>
    <x v="3"/>
    <x v="1"/>
  </r>
  <r>
    <x v="221"/>
    <x v="57"/>
    <n v="2006"/>
    <x v="4"/>
    <x v="1"/>
    <s v="kg CO2/km"/>
    <n v="1.4933333333333335E-2"/>
    <s v="kg CO2/kg Kraftstoff"/>
    <m/>
    <s v="USA: electrolysis of water with electicity from nuclear"/>
    <n v="2006"/>
    <x v="1"/>
    <x v="1"/>
  </r>
  <r>
    <x v="222"/>
    <x v="58"/>
    <n v="2006"/>
    <x v="4"/>
    <x v="1"/>
    <s v="kg CO2/km"/>
    <n v="0.11896666666666667"/>
    <s v="kg CO2/kg Kraftstoff"/>
    <m/>
    <s v="USA: steam reforming of natural gas in a hydrogen refueling station"/>
    <n v="2006"/>
    <x v="2"/>
    <x v="1"/>
  </r>
  <r>
    <x v="223"/>
    <x v="55"/>
    <n v="2006"/>
    <x v="4"/>
    <x v="1"/>
    <s v="kg CO2/km"/>
    <n v="0.10333333333333333"/>
    <s v="kg CO2/kg Kraftstoff"/>
    <m/>
    <s v="Kanada: steam reforming of natural gas in a central plant"/>
    <n v="2006"/>
    <x v="2"/>
    <x v="1"/>
  </r>
  <r>
    <x v="224"/>
    <x v="56"/>
    <n v="2006"/>
    <x v="4"/>
    <x v="1"/>
    <s v="kg CO2/km"/>
    <n v="0.46419999999999995"/>
    <s v="kg CO2/kg Kraftstoff"/>
    <m/>
    <s v="Kanada: electrolysis of water with electicity from coal"/>
    <n v="2006"/>
    <x v="3"/>
    <x v="1"/>
  </r>
  <r>
    <x v="225"/>
    <x v="57"/>
    <n v="2006"/>
    <x v="4"/>
    <x v="1"/>
    <s v="kg CO2/km"/>
    <n v="6.1000000000000004E-3"/>
    <s v="kg CO2/kg Kraftstoff"/>
    <m/>
    <s v="Kanada: electrolysis of water with electicity from nuclear"/>
    <n v="2006"/>
    <x v="1"/>
    <x v="1"/>
  </r>
  <r>
    <x v="226"/>
    <x v="58"/>
    <n v="2006"/>
    <x v="4"/>
    <x v="1"/>
    <s v="kg CO2/km"/>
    <n v="0.11159999999999999"/>
    <s v="kg CO2/kg Kraftstoff"/>
    <m/>
    <s v="Kanada: steam reforming of natural gas in a hydrogen refueling station"/>
    <n v="2006"/>
    <x v="2"/>
    <x v="1"/>
  </r>
  <r>
    <x v="227"/>
    <x v="59"/>
    <n v="2011"/>
    <x v="0"/>
    <x v="0"/>
    <s v="MJ/kg"/>
    <n v="43.542999999999999"/>
    <s v="MJ/kg"/>
    <n v="43.542999999999999"/>
    <m/>
    <n v="2011"/>
    <x v="0"/>
    <x v="0"/>
  </r>
  <r>
    <x v="228"/>
    <x v="59"/>
    <n v="2011"/>
    <x v="1"/>
    <x v="0"/>
    <s v="MJ/kg"/>
    <n v="42.96"/>
    <s v="MJ/kg"/>
    <n v="42.96"/>
    <m/>
    <n v="2011"/>
    <x v="0"/>
    <x v="0"/>
  </r>
  <r>
    <x v="229"/>
    <x v="59"/>
    <n v="2011"/>
    <x v="8"/>
    <x v="0"/>
    <s v="MJ/kg"/>
    <n v="26.917000000000002"/>
    <s v="MJ/kg"/>
    <n v="26.917000000000002"/>
    <m/>
    <n v="2011"/>
    <x v="0"/>
    <x v="0"/>
  </r>
  <r>
    <x v="230"/>
    <x v="59"/>
    <n v="2011"/>
    <x v="9"/>
    <x v="0"/>
    <s v="MJ/kg"/>
    <n v="37.241999999999997"/>
    <s v="MJ/kg"/>
    <n v="37.241999999999997"/>
    <m/>
    <n v="2011"/>
    <x v="0"/>
    <x v="0"/>
  </r>
  <r>
    <x v="231"/>
    <x v="59"/>
    <n v="2011"/>
    <x v="0"/>
    <x v="2"/>
    <s v="kg/l"/>
    <n v="0.74199999999999999"/>
    <s v="kg/l"/>
    <n v="0.74199999999999999"/>
    <m/>
    <n v="2011"/>
    <x v="0"/>
    <x v="0"/>
  </r>
  <r>
    <x v="232"/>
    <x v="59"/>
    <n v="2011"/>
    <x v="1"/>
    <x v="2"/>
    <s v="kg/l"/>
    <n v="0.83199999999999996"/>
    <s v="kg/l"/>
    <n v="0.83199999999999996"/>
    <m/>
    <n v="2011"/>
    <x v="0"/>
    <x v="0"/>
  </r>
  <r>
    <x v="233"/>
    <x v="59"/>
    <n v="2011"/>
    <x v="8"/>
    <x v="2"/>
    <s v="kg/l"/>
    <n v="0.78200000000000003"/>
    <s v="kg/l"/>
    <n v="0.78200000000000003"/>
    <m/>
    <n v="2011"/>
    <x v="0"/>
    <x v="0"/>
  </r>
  <r>
    <x v="234"/>
    <x v="59"/>
    <n v="2011"/>
    <x v="9"/>
    <x v="2"/>
    <s v="kg/l"/>
    <n v="0.879"/>
    <s v="kg/l"/>
    <n v="0.879"/>
    <m/>
    <n v="2011"/>
    <x v="0"/>
    <x v="0"/>
  </r>
  <r>
    <x v="235"/>
    <x v="45"/>
    <n v="2019"/>
    <x v="0"/>
    <x v="1"/>
    <s v="kg CO2/kg Kraftstoff"/>
    <n v="0.81499999999999995"/>
    <s v="kg CO2/kg Kraftstoff"/>
    <n v="0.81499999999999995"/>
    <s v="Benzin schwefelarm"/>
    <n v="2019"/>
    <x v="0"/>
    <x v="0"/>
  </r>
  <r>
    <x v="236"/>
    <x v="45"/>
    <n v="2019"/>
    <x v="1"/>
    <x v="1"/>
    <s v="kg CO2/kg Kraftstoff"/>
    <n v="0.59"/>
    <s v="kg CO2/kg Kraftstoff"/>
    <n v="0.59"/>
    <s v="Diesel schwefelarm"/>
    <n v="2019"/>
    <x v="0"/>
    <x v="0"/>
  </r>
  <r>
    <x v="237"/>
    <x v="48"/>
    <n v="2008"/>
    <x v="2"/>
    <x v="3"/>
    <s v="g CO2/kWh Kraftstoff"/>
    <n v="201.6"/>
    <s v="g CO2/J"/>
    <n v="5.5999999999999999E-5"/>
    <s v="/3,6/1000000"/>
    <n v="2008"/>
    <x v="0"/>
    <x v="0"/>
  </r>
  <r>
    <x v="238"/>
    <x v="60"/>
    <n v="2011"/>
    <x v="0"/>
    <x v="1"/>
    <s v="g CO2/MJ"/>
    <n v="18"/>
    <s v="kg CO2/kg Kraftstoff"/>
    <n v="0.77359199999999995"/>
    <s v="*Heizwert/1000"/>
    <n v="2010"/>
    <x v="0"/>
    <x v="0"/>
  </r>
  <r>
    <x v="239"/>
    <x v="60"/>
    <n v="2011"/>
    <x v="1"/>
    <x v="1"/>
    <s v="g CO2/MJ"/>
    <n v="12"/>
    <s v="kg CO2/kg Kraftstoff"/>
    <n v="0.51510666666666671"/>
    <s v="*Heizwert/1000"/>
    <n v="2010"/>
    <x v="0"/>
    <x v="0"/>
  </r>
  <r>
    <x v="240"/>
    <x v="60"/>
    <n v="2011"/>
    <x v="9"/>
    <x v="1"/>
    <s v="g CO2/MJ"/>
    <n v="58"/>
    <s v="kg CO2/kg Kraftstoff"/>
    <n v="2.1600359999999998"/>
    <s v="Soja_x000a_*Heizwert/1000"/>
    <n v="2010"/>
    <x v="0"/>
    <x v="0"/>
  </r>
  <r>
    <x v="241"/>
    <x v="61"/>
    <n v="2011"/>
    <x v="9"/>
    <x v="1"/>
    <s v="g CO2/MJ"/>
    <n v="52"/>
    <s v="kg CO2/kg Kraftstoff"/>
    <n v="1.9365839999999999"/>
    <s v="Raps_x000a_*Heizwert/1000"/>
    <n v="2010"/>
    <x v="0"/>
    <x v="0"/>
  </r>
  <r>
    <x v="242"/>
    <x v="61"/>
    <n v="2011"/>
    <x v="9"/>
    <x v="1"/>
    <s v="g CO2/MJ"/>
    <n v="40"/>
    <s v="kg CO2/kg Kraftstoff"/>
    <n v="1.4896799999999999"/>
    <s v="Palmöl_x000a_*Heizwert/1000"/>
    <n v="2010"/>
    <x v="0"/>
    <x v="0"/>
  </r>
  <r>
    <x v="243"/>
    <x v="61"/>
    <n v="2011"/>
    <x v="9"/>
    <x v="1"/>
    <s v="g CO2/MJ"/>
    <n v="20"/>
    <s v="kg CO2/kg Kraftstoff"/>
    <n v="0.74483999999999995"/>
    <s v="Abfallöl_x000a_*Heizwert/1000"/>
    <n v="2010"/>
    <x v="0"/>
    <x v="0"/>
  </r>
  <r>
    <x v="244"/>
    <x v="62"/>
    <n v="2016"/>
    <x v="2"/>
    <x v="3"/>
    <s v="g CO2/MJ"/>
    <n v="55.6"/>
    <s v="g CO2/J"/>
    <n v="5.5600000000000003E-5"/>
    <s v="bezogen auf Deutschland"/>
    <n v="2014"/>
    <x v="0"/>
    <x v="0"/>
  </r>
  <r>
    <x v="245"/>
    <x v="63"/>
    <n v="2017"/>
    <x v="9"/>
    <x v="1"/>
    <s v="g CO2/kWh Kraftstoff"/>
    <n v="114.86"/>
    <s v="kg CO2/kg Kraftstoff"/>
    <n v="1.1882267"/>
    <s v="/3,6*Heizwert/1000_x000a_Biodiesel aus Raps gewonnen."/>
    <n v="2016"/>
    <x v="0"/>
    <x v="0"/>
  </r>
  <r>
    <x v="246"/>
    <x v="64"/>
    <n v="2017"/>
    <x v="8"/>
    <x v="1"/>
    <s v="g CO2/kWh Kraftstoff"/>
    <n v="87.767259999999993"/>
    <s v="kg CO2/kg Kraftstoff"/>
    <n v="0.6530737436805556"/>
    <s v="Mais: 33,2%; 82,21 g CO2/kWh_x000a_weiteres Getreide: 50,7%; 82,82 g CO2/kWh_x000a_Zuckerrüben: 13,5%; 126,85 g CO2/kWh_x000a_Zuckerrohr: 2,1%; 70,25 g CO2/kWh_x000a_Abfall: 0,5%; 52,87 g CO2/kWh"/>
    <n v="2015"/>
    <x v="0"/>
    <x v="0"/>
  </r>
  <r>
    <x v="247"/>
    <x v="65"/>
    <n v="2017"/>
    <x v="0"/>
    <x v="1"/>
    <s v="g CO2/kWh Kraftstoff"/>
    <n v="42.13"/>
    <s v="kg CO2/kg Kraftstoff"/>
    <n v="0.50295418148148152"/>
    <s v="/3,6*Heizwert/1000"/>
    <n v="2016"/>
    <x v="0"/>
    <x v="0"/>
  </r>
  <r>
    <x v="248"/>
    <x v="66"/>
    <n v="2017"/>
    <x v="0"/>
    <x v="3"/>
    <s v="g CO2/kWh Kraftstoff"/>
    <n v="259.2"/>
    <s v="g CO2/J"/>
    <n v="7.2000000000000002E-5"/>
    <m/>
    <n v="2016"/>
    <x v="0"/>
    <x v="0"/>
  </r>
  <r>
    <x v="249"/>
    <x v="67"/>
    <n v="2017"/>
    <x v="1"/>
    <x v="1"/>
    <s v="g CO2/kWh Kraftstoff"/>
    <n v="34.94"/>
    <s v="kg CO2/kg Kraftstoff"/>
    <n v="0.41661636419753079"/>
    <s v="/3,6*Heizwert/1000"/>
    <n v="2016"/>
    <x v="0"/>
    <x v="0"/>
  </r>
  <r>
    <x v="250"/>
    <x v="68"/>
    <n v="2017"/>
    <x v="1"/>
    <x v="3"/>
    <s v="g CO2/kWh Kraftstoff"/>
    <n v="266.39999999999998"/>
    <s v="g CO2/J"/>
    <n v="7.3999999999999996E-5"/>
    <m/>
    <n v="2016"/>
    <x v="0"/>
    <x v="0"/>
  </r>
  <r>
    <x v="251"/>
    <x v="69"/>
    <n v="2017"/>
    <x v="11"/>
    <x v="1"/>
    <s v="g CO2/kWh Kraftstoff"/>
    <n v="47.42"/>
    <s v="kg CO2/kg Kraftstoff"/>
    <n v="0.60840132857239482"/>
    <s v="/3,6*Heizwert (von Erdgas)/1000"/>
    <n v="2016"/>
    <x v="0"/>
    <x v="0"/>
  </r>
  <r>
    <x v="252"/>
    <x v="69"/>
    <n v="2017"/>
    <x v="2"/>
    <x v="1"/>
    <s v="g CO2/kWh Kraftstoff"/>
    <n v="48.42"/>
    <s v="kg CO2/kg Kraftstoff"/>
    <n v="0.62123138611293449"/>
    <m/>
    <n v="2016"/>
    <x v="0"/>
    <x v="0"/>
  </r>
  <r>
    <x v="253"/>
    <x v="69"/>
    <n v="2017"/>
    <x v="2"/>
    <x v="3"/>
    <s v="g CO2/kWh Kraftstoff"/>
    <n v="201.6"/>
    <s v="g CO2/J"/>
    <n v="5.5999999999999999E-5"/>
    <m/>
    <n v="2016"/>
    <x v="0"/>
    <x v="0"/>
  </r>
  <r>
    <x v="254"/>
    <x v="70"/>
    <n v="2004"/>
    <x v="4"/>
    <x v="1"/>
    <s v="kg CO2/MJ Kraftstoff"/>
    <n v="4.5999999999999999E-2"/>
    <s v="kg CO2/kg Kraftstoff"/>
    <n v="5.5337999999999994"/>
    <s v="Sonnenenergie"/>
    <n v="2004"/>
    <x v="1"/>
    <x v="0"/>
  </r>
  <r>
    <x v="255"/>
    <x v="70"/>
    <n v="2004"/>
    <x v="4"/>
    <x v="1"/>
    <s v="kg CO2/MJ Kraftstoff"/>
    <n v="0.02"/>
    <s v="kg CO2/kg Kraftstoff"/>
    <n v="2.4060000000000001"/>
    <s v="Solar-Thermische Energie"/>
    <n v="2004"/>
    <x v="1"/>
    <x v="0"/>
  </r>
  <r>
    <x v="256"/>
    <x v="70"/>
    <n v="2004"/>
    <x v="4"/>
    <x v="1"/>
    <s v="kg CO2/MJ Kraftstoff"/>
    <n v="8.9999999999999993E-3"/>
    <s v="kg CO2/kg Kraftstoff"/>
    <n v="1.0827"/>
    <s v="Windkraft"/>
    <n v="2004"/>
    <x v="1"/>
    <x v="0"/>
  </r>
  <r>
    <x v="257"/>
    <x v="70"/>
    <n v="2004"/>
    <x v="4"/>
    <x v="1"/>
    <s v="kg CO2/MJ Kraftstoff"/>
    <n v="1.7000000000000001E-2"/>
    <s v="kg CO2/kg Kraftstoff"/>
    <n v="2.0451000000000001"/>
    <s v="Wasserkraft"/>
    <n v="2004"/>
    <x v="1"/>
    <x v="0"/>
  </r>
  <r>
    <x v="258"/>
    <x v="70"/>
    <n v="2004"/>
    <x v="4"/>
    <x v="1"/>
    <s v="kg CO2/MJ Kraftstoff"/>
    <n v="2.4E-2"/>
    <s v="kg CO2/kg Kraftstoff"/>
    <n v="2.8872"/>
    <s v="Biomasse"/>
    <n v="2004"/>
    <x v="1"/>
    <x v="0"/>
  </r>
  <r>
    <x v="259"/>
    <x v="70"/>
    <n v="2004"/>
    <x v="4"/>
    <x v="1"/>
    <s v="kg CO2/MJ Kraftstoff"/>
    <n v="8.6999999999999994E-2"/>
    <s v="kg CO2/kg Kraftstoff"/>
    <n v="10.466099999999999"/>
    <s v="Erdgas (steam reforming)"/>
    <n v="2004"/>
    <x v="0"/>
    <x v="0"/>
  </r>
  <r>
    <x v="260"/>
    <x v="71"/>
    <n v="2015"/>
    <x v="1"/>
    <x v="1"/>
    <s v="g CO2/MJ"/>
    <n v="17.399999999999999"/>
    <s v="kg CO2/kg Kraftstoff"/>
    <n v="0.74690466666666655"/>
    <s v="*Heizwert/1000"/>
    <n v="2015"/>
    <x v="0"/>
    <x v="0"/>
  </r>
  <r>
    <x v="261"/>
    <x v="72"/>
    <n v="2015"/>
    <x v="2"/>
    <x v="1"/>
    <s v="g CO2/GJ"/>
    <n v="12949"/>
    <s v="kg CO2/kg Kraftstoff"/>
    <n v="0.59809109433281704"/>
    <s v="für Deutschland_x000a_aus Süd-West EU"/>
    <n v="2015"/>
    <x v="0"/>
    <x v="0"/>
  </r>
  <r>
    <x v="262"/>
    <x v="72"/>
    <n v="2015"/>
    <x v="2"/>
    <x v="1"/>
    <s v="g CO2/GJ"/>
    <n v="15200"/>
    <s v="kg CO2/kg Kraftstoff"/>
    <n v="0.7020607486183349"/>
    <s v="für Deutschland_x000a_aus Zentral EU"/>
    <n v="2015"/>
    <x v="0"/>
    <x v="0"/>
  </r>
  <r>
    <x v="263"/>
    <x v="72"/>
    <n v="2015"/>
    <x v="2"/>
    <x v="1"/>
    <s v="g CO2/GJ"/>
    <n v="21112"/>
    <s v="kg CO2/kg Kraftstoff"/>
    <n v="0.97512542926515045"/>
    <s v="für Deutschland_x000a_aus Süd-Ost EU"/>
    <n v="2015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rowGrandTotals="0" itemPrintTitles="1" createdVersion="5" indent="0" outline="1" outlineData="1" multipleFieldFilters="0" chartFormat="1">
  <location ref="A38:B46" firstHeaderRow="1" firstDataRow="1" firstDataCol="1" rowPageCount="2" colPageCount="1"/>
  <pivotFields count="13">
    <pivotField showAll="0" defaultSubtotal="0"/>
    <pivotField showAll="0" defaultSubtotal="0"/>
    <pivotField showAll="0" defaultSubtotal="0"/>
    <pivotField axis="axisRow" showAll="0" sortType="ascending" defaultSubtotal="0">
      <items count="13">
        <item n="petrol" x="0"/>
        <item x="9"/>
        <item x="8"/>
        <item x="11"/>
        <item x="1"/>
        <item x="10"/>
        <item n="CNG" x="2"/>
        <item n="LPG" x="3"/>
        <item x="6"/>
        <item x="5"/>
        <item x="7"/>
        <item n="hydrogen" x="4"/>
        <item m="1" x="12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name="characteristic" axis="axisPage" showAll="0" defaultSubtotal="0">
      <items count="7">
        <item x="2"/>
        <item m="1" x="6"/>
        <item m="1" x="5"/>
        <item x="3"/>
        <item x="1"/>
        <item n="lower heating value" x="0"/>
        <item m="1" x="4"/>
      </items>
    </pivotField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showAll="0" defaultSubtotal="0"/>
    <pivotField name="viability" axis="axisPage" showAll="0" defaultSubtotal="0">
      <items count="3">
        <item n="yes" x="0"/>
        <item x="1"/>
        <item m="1" x="2"/>
      </items>
    </pivotField>
  </pivotFields>
  <rowFields count="1">
    <field x="3"/>
  </rowFields>
  <rowItems count="8">
    <i>
      <x v="2"/>
    </i>
    <i>
      <x v="1"/>
    </i>
    <i>
      <x v="4"/>
    </i>
    <i>
      <x/>
    </i>
    <i>
      <x v="9"/>
    </i>
    <i>
      <x v="7"/>
    </i>
    <i>
      <x v="6"/>
    </i>
    <i>
      <x v="11"/>
    </i>
  </rowItems>
  <colItems count="1">
    <i/>
  </colItems>
  <pageFields count="2">
    <pageField fld="4" item="5" hier="-1"/>
    <pageField fld="12" item="0" hier="-1"/>
  </pageFields>
  <dataFields count="1">
    <dataField name="Average of unit (converted)" fld="8" subtotal="average" baseField="3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0.xml><?xml version="1.0" encoding="utf-8"?>
<pivotTableDefinition xmlns="http://schemas.openxmlformats.org/spreadsheetml/2006/main" name="PivotTable6" cacheId="0" applyNumberFormats="0" applyBorderFormats="0" applyFontFormats="0" applyPatternFormats="0" applyAlignmentFormats="0" applyWidthHeightFormats="1" dataCaption="Werte" updatedVersion="6" minRefreshableVersion="3" rowGrandTotals="0" itemPrintTitles="1" createdVersion="6" indent="0" outline="1" outlineData="1" multipleFieldFilters="0" chartFormat="22">
  <location ref="A38:B46" firstHeaderRow="1" firstDataRow="1" firstDataCol="1" rowPageCount="3" colPageCount="1"/>
  <pivotFields count="13">
    <pivotField axis="axisRow" showAll="0" defaultSubtotal="0">
      <items count="2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</items>
    </pivotField>
    <pivotField axis="axisRow" showAll="0" defaultSubtotal="0">
      <items count="77">
        <item x="0"/>
        <item x="42"/>
        <item x="47"/>
        <item m="1" x="76"/>
        <item m="1" x="74"/>
        <item x="12"/>
        <item x="43"/>
        <item x="10"/>
        <item x="27"/>
        <item x="31"/>
        <item x="34"/>
        <item m="1" x="75"/>
        <item x="48"/>
        <item x="32"/>
        <item x="11"/>
        <item x="8"/>
        <item x="5"/>
        <item x="6"/>
        <item x="9"/>
        <item x="37"/>
        <item x="38"/>
        <item x="39"/>
        <item x="40"/>
        <item x="41"/>
        <item x="33"/>
        <item x="30"/>
        <item x="13"/>
        <item x="44"/>
        <item x="7"/>
        <item x="35"/>
        <item x="14"/>
        <item x="17"/>
        <item x="18"/>
        <item x="19"/>
        <item x="20"/>
        <item x="21"/>
        <item x="22"/>
        <item x="23"/>
        <item x="24"/>
        <item x="25"/>
        <item x="26"/>
        <item x="28"/>
        <item x="1"/>
        <item x="2"/>
        <item x="3"/>
        <item x="4"/>
        <item x="29"/>
        <item x="46"/>
        <item x="45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m="1" x="73"/>
        <item x="70"/>
        <item x="16"/>
        <item x="15"/>
        <item x="36"/>
        <item x="71"/>
        <item x="72"/>
      </items>
    </pivotField>
    <pivotField showAll="0" defaultSubtotal="0"/>
    <pivotField name="fuel type" axis="axisPage" showAll="0" defaultSubtotal="0">
      <items count="13">
        <item x="0"/>
        <item x="9"/>
        <item x="8"/>
        <item x="1"/>
        <item x="2"/>
        <item x="3"/>
        <item x="4"/>
        <item x="10"/>
        <item x="6"/>
        <item x="7"/>
        <item x="5"/>
        <item x="11"/>
        <item m="1" x="12"/>
      </items>
    </pivotField>
    <pivotField name="characteristic" axis="axisPage" multipleItemSelectionAllowed="1" showAll="0" defaultSubtotal="0">
      <items count="7">
        <item h="1" x="2"/>
        <item m="1" x="6"/>
        <item h="1" x="0"/>
        <item h="1" m="1" x="5"/>
        <item h="1" x="1"/>
        <item x="3"/>
        <item h="1" m="1" x="4"/>
      </items>
    </pivotField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showAll="0" defaultSubtotal="0"/>
    <pivotField name="viability" axis="axisPage" showAll="0" defaultSubtotal="0">
      <items count="3">
        <item n="yes" x="0"/>
        <item x="1"/>
        <item m="1" x="2"/>
      </items>
    </pivotField>
  </pivotFields>
  <rowFields count="2">
    <field x="0"/>
    <field x="1"/>
  </rowFields>
  <rowItems count="8">
    <i>
      <x v="155"/>
    </i>
    <i r="1">
      <x v="10"/>
    </i>
    <i>
      <x v="158"/>
    </i>
    <i r="1">
      <x v="24"/>
    </i>
    <i>
      <x v="198"/>
    </i>
    <i r="1">
      <x v="12"/>
    </i>
    <i>
      <x v="250"/>
    </i>
    <i r="1">
      <x v="68"/>
    </i>
  </rowItems>
  <colItems count="1">
    <i/>
  </colItems>
  <pageFields count="3">
    <pageField fld="3" item="3" hier="-1"/>
    <pageField fld="4" hier="-1"/>
    <pageField fld="12" item="0" hier="-1"/>
  </pageFields>
  <dataFields count="1">
    <dataField name="Mittelwert von unit (converted)" fld="8" subtotal="average" baseField="3" baseItem="0"/>
  </dataFields>
  <formats count="19">
    <format dxfId="81">
      <pivotArea collapsedLevelsAreSubtotals="1" fieldPosition="0">
        <references count="1">
          <reference field="4" count="0"/>
        </references>
      </pivotArea>
    </format>
    <format dxfId="80">
      <pivotArea collapsedLevelsAreSubtotals="1" fieldPosition="0">
        <references count="2">
          <reference field="1" count="4">
            <x v="0"/>
            <x v="1"/>
            <x v="20"/>
            <x v="24"/>
          </reference>
          <reference field="4" count="0" selected="0"/>
        </references>
      </pivotArea>
    </format>
    <format dxfId="79">
      <pivotArea collapsedLevelsAreSubtotals="1" fieldPosition="0">
        <references count="1">
          <reference field="4" count="0"/>
        </references>
      </pivotArea>
    </format>
    <format dxfId="78">
      <pivotArea collapsedLevelsAreSubtotals="1" fieldPosition="0">
        <references count="2">
          <reference field="1" count="4">
            <x v="0"/>
            <x v="1"/>
            <x v="20"/>
            <x v="24"/>
          </reference>
          <reference field="4" count="0" selected="0"/>
        </references>
      </pivotArea>
    </format>
    <format dxfId="77">
      <pivotArea collapsedLevelsAreSubtotals="1" fieldPosition="0">
        <references count="1">
          <reference field="4" count="0"/>
        </references>
      </pivotArea>
    </format>
    <format dxfId="76">
      <pivotArea collapsedLevelsAreSubtotals="1" fieldPosition="0">
        <references count="2">
          <reference field="1" count="4">
            <x v="0"/>
            <x v="1"/>
            <x v="20"/>
            <x v="24"/>
          </reference>
          <reference field="4" count="0" selected="0"/>
        </references>
      </pivotArea>
    </format>
    <format dxfId="75">
      <pivotArea collapsedLevelsAreSubtotals="1" fieldPosition="0">
        <references count="1">
          <reference field="1" count="3">
            <x v="4"/>
            <x v="12"/>
            <x v="26"/>
          </reference>
        </references>
      </pivotArea>
    </format>
    <format dxfId="74">
      <pivotArea collapsedLevelsAreSubtotals="1" fieldPosition="0">
        <references count="1">
          <reference field="1" count="3">
            <x v="10"/>
            <x v="11"/>
            <x v="24"/>
          </reference>
        </references>
      </pivotArea>
    </format>
    <format dxfId="73">
      <pivotArea collapsedLevelsAreSubtotals="1" fieldPosition="0">
        <references count="1">
          <reference field="1" count="3">
            <x v="10"/>
            <x v="11"/>
            <x v="24"/>
          </reference>
        </references>
      </pivotArea>
    </format>
    <format dxfId="72">
      <pivotArea collapsedLevelsAreSubtotals="1" fieldPosition="0">
        <references count="1">
          <reference field="1" count="3">
            <x v="10"/>
            <x v="11"/>
            <x v="24"/>
          </reference>
        </references>
      </pivotArea>
    </format>
    <format dxfId="71">
      <pivotArea collapsedLevelsAreSubtotals="1" fieldPosition="0">
        <references count="1">
          <reference field="1" count="3">
            <x v="10"/>
            <x v="11"/>
            <x v="24"/>
          </reference>
        </references>
      </pivotArea>
    </format>
    <format dxfId="70">
      <pivotArea collapsedLevelsAreSubtotals="1" fieldPosition="0">
        <references count="1">
          <reference field="1" count="3">
            <x v="10"/>
            <x v="11"/>
            <x v="24"/>
          </reference>
        </references>
      </pivotArea>
    </format>
    <format dxfId="69">
      <pivotArea collapsedLevelsAreSubtotals="1" fieldPosition="0">
        <references count="1">
          <reference field="1" count="3">
            <x v="10"/>
            <x v="11"/>
            <x v="24"/>
          </reference>
        </references>
      </pivotArea>
    </format>
    <format dxfId="68">
      <pivotArea collapsedLevelsAreSubtotals="1" fieldPosition="0">
        <references count="1">
          <reference field="1" count="3">
            <x v="10"/>
            <x v="11"/>
            <x v="24"/>
          </reference>
        </references>
      </pivotArea>
    </format>
    <format dxfId="67">
      <pivotArea collapsedLevelsAreSubtotals="1" fieldPosition="0">
        <references count="1">
          <reference field="1" count="3">
            <x v="10"/>
            <x v="11"/>
            <x v="24"/>
          </reference>
        </references>
      </pivotArea>
    </format>
    <format dxfId="66">
      <pivotArea collapsedLevelsAreSubtotals="1" fieldPosition="0">
        <references count="1">
          <reference field="1" count="3">
            <x v="10"/>
            <x v="11"/>
            <x v="24"/>
          </reference>
        </references>
      </pivotArea>
    </format>
    <format dxfId="65">
      <pivotArea collapsedLevelsAreSubtotals="1" fieldPosition="0">
        <references count="1">
          <reference field="1" count="3">
            <x v="10"/>
            <x v="11"/>
            <x v="24"/>
          </reference>
        </references>
      </pivotArea>
    </format>
    <format dxfId="64">
      <pivotArea collapsedLevelsAreSubtotals="1" fieldPosition="0">
        <references count="2">
          <reference field="0" count="1" selected="0">
            <x v="198"/>
          </reference>
          <reference field="1" count="1">
            <x v="12"/>
          </reference>
        </references>
      </pivotArea>
    </format>
    <format dxfId="63">
      <pivotArea collapsedLevelsAreSubtotals="1" fieldPosition="0">
        <references count="2">
          <reference field="0" count="1" selected="0">
            <x v="250"/>
          </reference>
          <reference field="1" count="1">
            <x v="68"/>
          </reference>
        </references>
      </pivotArea>
    </format>
  </formats>
  <chartFormats count="8">
    <chartFormat chart="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3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4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6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1.xml><?xml version="1.0" encoding="utf-8"?>
<pivotTableDefinition xmlns="http://schemas.openxmlformats.org/spreadsheetml/2006/main" name="PivotTable7" cacheId="0" applyNumberFormats="0" applyBorderFormats="0" applyFontFormats="0" applyPatternFormats="0" applyAlignmentFormats="0" applyWidthHeightFormats="1" dataCaption="Werte" updatedVersion="6" minRefreshableVersion="3" rowGrandTotals="0" itemPrintTitles="1" createdVersion="6" indent="0" outline="1" outlineData="1" multipleFieldFilters="0" chartFormat="16">
  <location ref="A38:B44" firstHeaderRow="1" firstDataRow="1" firstDataCol="1" rowPageCount="3" colPageCount="1"/>
  <pivotFields count="13">
    <pivotField axis="axisRow" showAll="0" defaultSubtotal="0">
      <items count="2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</items>
    </pivotField>
    <pivotField axis="axisRow" showAll="0" defaultSubtotal="0">
      <items count="77">
        <item x="0"/>
        <item x="42"/>
        <item x="47"/>
        <item m="1" x="76"/>
        <item m="1" x="74"/>
        <item x="12"/>
        <item x="43"/>
        <item x="10"/>
        <item x="27"/>
        <item x="31"/>
        <item x="34"/>
        <item m="1" x="75"/>
        <item x="48"/>
        <item x="32"/>
        <item x="11"/>
        <item x="8"/>
        <item x="5"/>
        <item x="6"/>
        <item x="9"/>
        <item x="37"/>
        <item x="38"/>
        <item x="39"/>
        <item x="40"/>
        <item x="41"/>
        <item x="33"/>
        <item x="30"/>
        <item x="13"/>
        <item x="44"/>
        <item x="7"/>
        <item x="35"/>
        <item x="14"/>
        <item x="17"/>
        <item x="18"/>
        <item x="19"/>
        <item x="20"/>
        <item x="21"/>
        <item x="22"/>
        <item x="23"/>
        <item x="24"/>
        <item x="25"/>
        <item x="26"/>
        <item x="28"/>
        <item x="1"/>
        <item x="2"/>
        <item x="3"/>
        <item x="4"/>
        <item x="29"/>
        <item x="46"/>
        <item x="45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m="1" x="73"/>
        <item x="70"/>
        <item x="16"/>
        <item x="15"/>
        <item x="36"/>
        <item x="71"/>
        <item x="72"/>
      </items>
    </pivotField>
    <pivotField showAll="0" defaultSubtotal="0"/>
    <pivotField name="fuel type" axis="axisPage" showAll="0" defaultSubtotal="0">
      <items count="13">
        <item x="0"/>
        <item x="9"/>
        <item x="8"/>
        <item x="1"/>
        <item x="2"/>
        <item n="LPG" x="3"/>
        <item x="4"/>
        <item x="10"/>
        <item x="6"/>
        <item x="7"/>
        <item x="5"/>
        <item x="11"/>
        <item m="1" x="12"/>
      </items>
    </pivotField>
    <pivotField name="characteristic" axis="axisPage" multipleItemSelectionAllowed="1" showAll="0" defaultSubtotal="0">
      <items count="7">
        <item h="1" x="2"/>
        <item m="1" x="6"/>
        <item h="1" x="0"/>
        <item h="1" m="1" x="5"/>
        <item h="1" x="1"/>
        <item x="3"/>
        <item h="1" m="1" x="4"/>
      </items>
    </pivotField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showAll="0" defaultSubtotal="0"/>
    <pivotField name="viability" axis="axisPage" showAll="0" defaultSubtotal="0">
      <items count="3">
        <item n="yes" x="0"/>
        <item x="1"/>
        <item m="1" x="2"/>
      </items>
    </pivotField>
  </pivotFields>
  <rowFields count="2">
    <field x="0"/>
    <field x="1"/>
  </rowFields>
  <rowItems count="6">
    <i>
      <x v="156"/>
    </i>
    <i r="1">
      <x v="10"/>
    </i>
    <i>
      <x v="160"/>
    </i>
    <i r="1">
      <x v="24"/>
    </i>
    <i>
      <x v="199"/>
    </i>
    <i r="1">
      <x v="12"/>
    </i>
  </rowItems>
  <colItems count="1">
    <i/>
  </colItems>
  <pageFields count="3">
    <pageField fld="3" item="5" hier="-1"/>
    <pageField fld="4" hier="-1"/>
    <pageField fld="12" item="0" hier="-1"/>
  </pageFields>
  <dataFields count="1">
    <dataField name="Mittelwert von unit (converted)" fld="8" subtotal="average" baseField="3" baseItem="0"/>
  </dataFields>
  <formats count="26">
    <format dxfId="62">
      <pivotArea collapsedLevelsAreSubtotals="1" fieldPosition="0">
        <references count="1">
          <reference field="4" count="0"/>
        </references>
      </pivotArea>
    </format>
    <format dxfId="61">
      <pivotArea collapsedLevelsAreSubtotals="1" fieldPosition="0">
        <references count="2">
          <reference field="1" count="5">
            <x v="0"/>
            <x v="1"/>
            <x v="5"/>
            <x v="19"/>
            <x v="24"/>
          </reference>
          <reference field="4" count="0" selected="0"/>
        </references>
      </pivotArea>
    </format>
    <format dxfId="60">
      <pivotArea collapsedLevelsAreSubtotals="1" fieldPosition="0">
        <references count="1">
          <reference field="4" count="0"/>
        </references>
      </pivotArea>
    </format>
    <format dxfId="59">
      <pivotArea collapsedLevelsAreSubtotals="1" fieldPosition="0">
        <references count="2">
          <reference field="1" count="5">
            <x v="0"/>
            <x v="1"/>
            <x v="5"/>
            <x v="19"/>
            <x v="24"/>
          </reference>
          <reference field="4" count="0" selected="0"/>
        </references>
      </pivotArea>
    </format>
    <format dxfId="58">
      <pivotArea collapsedLevelsAreSubtotals="1" fieldPosition="0">
        <references count="1">
          <reference field="4" count="0"/>
        </references>
      </pivotArea>
    </format>
    <format dxfId="57">
      <pivotArea collapsedLevelsAreSubtotals="1" fieldPosition="0">
        <references count="2">
          <reference field="1" count="5">
            <x v="0"/>
            <x v="1"/>
            <x v="5"/>
            <x v="19"/>
            <x v="24"/>
          </reference>
          <reference field="4" count="0" selected="0"/>
        </references>
      </pivotArea>
    </format>
    <format dxfId="56">
      <pivotArea collapsedLevelsAreSubtotals="1" fieldPosition="0">
        <references count="1">
          <reference field="4" count="0"/>
        </references>
      </pivotArea>
    </format>
    <format dxfId="55">
      <pivotArea collapsedLevelsAreSubtotals="1" fieldPosition="0">
        <references count="2">
          <reference field="1" count="4">
            <x v="0"/>
            <x v="8"/>
            <x v="22"/>
            <x v="24"/>
          </reference>
          <reference field="4" count="0" selected="0"/>
        </references>
      </pivotArea>
    </format>
    <format dxfId="54">
      <pivotArea collapsedLevelsAreSubtotals="1" fieldPosition="0">
        <references count="1">
          <reference field="4" count="0"/>
        </references>
      </pivotArea>
    </format>
    <format dxfId="53">
      <pivotArea collapsedLevelsAreSubtotals="1" fieldPosition="0">
        <references count="2">
          <reference field="1" count="4">
            <x v="0"/>
            <x v="8"/>
            <x v="22"/>
            <x v="24"/>
          </reference>
          <reference field="4" count="0" selected="0"/>
        </references>
      </pivotArea>
    </format>
    <format dxfId="52">
      <pivotArea collapsedLevelsAreSubtotals="1" fieldPosition="0">
        <references count="1">
          <reference field="4" count="0"/>
        </references>
      </pivotArea>
    </format>
    <format dxfId="51">
      <pivotArea collapsedLevelsAreSubtotals="1" fieldPosition="0">
        <references count="2">
          <reference field="1" count="4">
            <x v="0"/>
            <x v="8"/>
            <x v="22"/>
            <x v="24"/>
          </reference>
          <reference field="4" count="0" selected="0"/>
        </references>
      </pivotArea>
    </format>
    <format dxfId="50">
      <pivotArea collapsedLevelsAreSubtotals="1" fieldPosition="0">
        <references count="1">
          <reference field="4" count="0"/>
        </references>
      </pivotArea>
    </format>
    <format dxfId="49">
      <pivotArea collapsedLevelsAreSubtotals="1" fieldPosition="0">
        <references count="2">
          <reference field="1" count="4">
            <x v="0"/>
            <x v="8"/>
            <x v="22"/>
            <x v="24"/>
          </reference>
          <reference field="4" count="0" selected="0"/>
        </references>
      </pivotArea>
    </format>
    <format dxfId="48">
      <pivotArea collapsedLevelsAreSubtotals="1" fieldPosition="0">
        <references count="1">
          <reference field="1" count="1">
            <x v="7"/>
          </reference>
        </references>
      </pivotArea>
    </format>
    <format dxfId="47">
      <pivotArea collapsedLevelsAreSubtotals="1" fieldPosition="0">
        <references count="1">
          <reference field="1" count="3">
            <x v="10"/>
            <x v="11"/>
            <x v="24"/>
          </reference>
        </references>
      </pivotArea>
    </format>
    <format dxfId="46">
      <pivotArea collapsedLevelsAreSubtotals="1" fieldPosition="0">
        <references count="1">
          <reference field="1" count="3">
            <x v="10"/>
            <x v="11"/>
            <x v="24"/>
          </reference>
        </references>
      </pivotArea>
    </format>
    <format dxfId="45">
      <pivotArea collapsedLevelsAreSubtotals="1" fieldPosition="0">
        <references count="1">
          <reference field="1" count="3">
            <x v="10"/>
            <x v="11"/>
            <x v="24"/>
          </reference>
        </references>
      </pivotArea>
    </format>
    <format dxfId="44">
      <pivotArea collapsedLevelsAreSubtotals="1" fieldPosition="0">
        <references count="1">
          <reference field="1" count="3">
            <x v="10"/>
            <x v="11"/>
            <x v="24"/>
          </reference>
        </references>
      </pivotArea>
    </format>
    <format dxfId="43">
      <pivotArea collapsedLevelsAreSubtotals="1" fieldPosition="0">
        <references count="1">
          <reference field="1" count="3">
            <x v="10"/>
            <x v="11"/>
            <x v="24"/>
          </reference>
        </references>
      </pivotArea>
    </format>
    <format dxfId="42">
      <pivotArea collapsedLevelsAreSubtotals="1" fieldPosition="0">
        <references count="1">
          <reference field="1" count="3">
            <x v="10"/>
            <x v="11"/>
            <x v="24"/>
          </reference>
        </references>
      </pivotArea>
    </format>
    <format dxfId="41">
      <pivotArea collapsedLevelsAreSubtotals="1" fieldPosition="0">
        <references count="1">
          <reference field="1" count="3">
            <x v="10"/>
            <x v="11"/>
            <x v="24"/>
          </reference>
        </references>
      </pivotArea>
    </format>
    <format dxfId="40">
      <pivotArea collapsedLevelsAreSubtotals="1" fieldPosition="0">
        <references count="1">
          <reference field="1" count="3">
            <x v="10"/>
            <x v="11"/>
            <x v="24"/>
          </reference>
        </references>
      </pivotArea>
    </format>
    <format dxfId="39">
      <pivotArea collapsedLevelsAreSubtotals="1" fieldPosition="0">
        <references count="1">
          <reference field="1" count="3">
            <x v="10"/>
            <x v="11"/>
            <x v="24"/>
          </reference>
        </references>
      </pivotArea>
    </format>
    <format dxfId="38">
      <pivotArea collapsedLevelsAreSubtotals="1" fieldPosition="0">
        <references count="1">
          <reference field="1" count="3">
            <x v="10"/>
            <x v="11"/>
            <x v="24"/>
          </reference>
        </references>
      </pivotArea>
    </format>
    <format dxfId="37">
      <pivotArea collapsedLevelsAreSubtotals="1" fieldPosition="0">
        <references count="2">
          <reference field="0" count="1" selected="0">
            <x v="199"/>
          </reference>
          <reference field="1" count="1">
            <x v="12"/>
          </reference>
        </references>
      </pivotArea>
    </format>
  </formats>
  <chartFormats count="9">
    <chartFormat chart="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0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3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2.xml><?xml version="1.0" encoding="utf-8"?>
<pivotTableDefinition xmlns="http://schemas.openxmlformats.org/spreadsheetml/2006/main" name="PivotTable4" cacheId="0" applyNumberFormats="0" applyBorderFormats="0" applyFontFormats="0" applyPatternFormats="0" applyAlignmentFormats="0" applyWidthHeightFormats="1" dataCaption="Werte" updatedVersion="6" minRefreshableVersion="3" rowGrandTotals="0" itemPrintTitles="1" createdVersion="6" indent="0" outline="1" outlineData="1" multipleFieldFilters="0" chartFormat="15">
  <location ref="A38:B50" firstHeaderRow="1" firstDataRow="1" firstDataCol="1" rowPageCount="3" colPageCount="1"/>
  <pivotFields count="13">
    <pivotField axis="axisRow" showAll="0" defaultSubtotal="0">
      <items count="2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</items>
    </pivotField>
    <pivotField axis="axisRow" showAll="0" defaultSubtotal="0">
      <items count="77">
        <item x="0"/>
        <item x="42"/>
        <item x="47"/>
        <item m="1" x="76"/>
        <item m="1" x="74"/>
        <item x="12"/>
        <item x="43"/>
        <item x="10"/>
        <item x="27"/>
        <item x="31"/>
        <item x="34"/>
        <item m="1" x="75"/>
        <item x="48"/>
        <item x="32"/>
        <item x="11"/>
        <item x="8"/>
        <item x="5"/>
        <item x="6"/>
        <item x="9"/>
        <item x="37"/>
        <item x="38"/>
        <item x="39"/>
        <item x="40"/>
        <item x="41"/>
        <item x="33"/>
        <item x="30"/>
        <item x="13"/>
        <item x="44"/>
        <item x="7"/>
        <item x="35"/>
        <item x="14"/>
        <item x="17"/>
        <item x="18"/>
        <item x="19"/>
        <item x="20"/>
        <item x="21"/>
        <item x="22"/>
        <item x="23"/>
        <item x="24"/>
        <item x="25"/>
        <item x="26"/>
        <item x="28"/>
        <item x="1"/>
        <item x="2"/>
        <item x="3"/>
        <item x="4"/>
        <item x="29"/>
        <item x="46"/>
        <item x="45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m="1" x="73"/>
        <item x="70"/>
        <item x="16"/>
        <item x="15"/>
        <item x="36"/>
        <item x="71"/>
        <item x="72"/>
      </items>
    </pivotField>
    <pivotField showAll="0" defaultSubtotal="0"/>
    <pivotField name="fuel type" axis="axisPage" showAll="0" defaultSubtotal="0">
      <items count="13">
        <item x="0"/>
        <item x="9"/>
        <item x="8"/>
        <item x="1"/>
        <item n="CNG" x="2"/>
        <item x="3"/>
        <item x="4"/>
        <item x="10"/>
        <item x="6"/>
        <item x="7"/>
        <item x="5"/>
        <item x="11"/>
        <item m="1" x="12"/>
      </items>
    </pivotField>
    <pivotField name="characteristic" axis="axisPage" multipleItemSelectionAllowed="1" showAll="0" defaultSubtotal="0">
      <items count="7">
        <item h="1" x="2"/>
        <item m="1" x="6"/>
        <item h="1" x="0"/>
        <item h="1" m="1" x="5"/>
        <item h="1" x="1"/>
        <item x="3"/>
        <item h="1" m="1" x="4"/>
      </items>
    </pivotField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showAll="0" defaultSubtotal="0"/>
    <pivotField name="viability" axis="axisPage" showAll="0" defaultSubtotal="0">
      <items count="3">
        <item n="yes" x="0"/>
        <item x="1"/>
        <item m="1" x="2"/>
      </items>
    </pivotField>
  </pivotFields>
  <rowFields count="2">
    <field x="0"/>
    <field x="1"/>
  </rowFields>
  <rowItems count="12">
    <i>
      <x v="25"/>
    </i>
    <i r="1">
      <x v="16"/>
    </i>
    <i>
      <x v="26"/>
    </i>
    <i r="1">
      <x v="18"/>
    </i>
    <i>
      <x v="159"/>
    </i>
    <i r="1">
      <x v="24"/>
    </i>
    <i>
      <x v="237"/>
    </i>
    <i r="1">
      <x v="12"/>
    </i>
    <i>
      <x v="244"/>
    </i>
    <i r="1">
      <x v="62"/>
    </i>
    <i>
      <x v="253"/>
    </i>
    <i r="1">
      <x v="69"/>
    </i>
  </rowItems>
  <colItems count="1">
    <i/>
  </colItems>
  <pageFields count="3">
    <pageField fld="3" item="4" hier="-1"/>
    <pageField fld="4" hier="-1"/>
    <pageField fld="12" item="0" hier="-1"/>
  </pageFields>
  <dataFields count="1">
    <dataField name="Mittelwert von unit (converted)" fld="8" subtotal="average" baseField="3" baseItem="0"/>
  </dataFields>
  <formats count="28">
    <format dxfId="29">
      <pivotArea collapsedLevelsAreSubtotals="1" fieldPosition="0">
        <references count="1">
          <reference field="4" count="0"/>
        </references>
      </pivotArea>
    </format>
    <format dxfId="28">
      <pivotArea collapsedLevelsAreSubtotals="1" fieldPosition="0">
        <references count="2">
          <reference field="1" count="10">
            <x v="0"/>
            <x v="1"/>
            <x v="3"/>
            <x v="5"/>
            <x v="6"/>
            <x v="8"/>
            <x v="9"/>
            <x v="14"/>
            <x v="21"/>
            <x v="24"/>
          </reference>
          <reference field="4" count="0" selected="0"/>
        </references>
      </pivotArea>
    </format>
    <format dxfId="27">
      <pivotArea collapsedLevelsAreSubtotals="1" fieldPosition="0">
        <references count="1">
          <reference field="4" count="0"/>
        </references>
      </pivotArea>
    </format>
    <format dxfId="26">
      <pivotArea collapsedLevelsAreSubtotals="1" fieldPosition="0">
        <references count="2">
          <reference field="1" count="10">
            <x v="0"/>
            <x v="1"/>
            <x v="3"/>
            <x v="5"/>
            <x v="6"/>
            <x v="8"/>
            <x v="9"/>
            <x v="14"/>
            <x v="21"/>
            <x v="24"/>
          </reference>
          <reference field="4" count="0" selected="0"/>
        </references>
      </pivotArea>
    </format>
    <format dxfId="25">
      <pivotArea collapsedLevelsAreSubtotals="1" fieldPosition="0">
        <references count="1">
          <reference field="4" count="0"/>
        </references>
      </pivotArea>
    </format>
    <format dxfId="24">
      <pivotArea collapsedLevelsAreSubtotals="1" fieldPosition="0">
        <references count="2">
          <reference field="1" count="10">
            <x v="0"/>
            <x v="1"/>
            <x v="3"/>
            <x v="5"/>
            <x v="6"/>
            <x v="8"/>
            <x v="9"/>
            <x v="14"/>
            <x v="21"/>
            <x v="24"/>
          </reference>
          <reference field="4" count="0" selected="0"/>
        </references>
      </pivotArea>
    </format>
    <format dxfId="23">
      <pivotArea collapsedLevelsAreSubtotals="1" fieldPosition="0">
        <references count="1">
          <reference field="4" count="0"/>
        </references>
      </pivotArea>
    </format>
    <format dxfId="22">
      <pivotArea collapsedLevelsAreSubtotals="1" fieldPosition="0">
        <references count="2">
          <reference field="1" count="10">
            <x v="0"/>
            <x v="1"/>
            <x v="3"/>
            <x v="5"/>
            <x v="6"/>
            <x v="8"/>
            <x v="9"/>
            <x v="14"/>
            <x v="21"/>
            <x v="24"/>
          </reference>
          <reference field="4" count="0" selected="0"/>
        </references>
      </pivotArea>
    </format>
    <format dxfId="21">
      <pivotArea collapsedLevelsAreSubtotals="1" fieldPosition="0">
        <references count="1">
          <reference field="4" count="0"/>
        </references>
      </pivotArea>
    </format>
    <format dxfId="20">
      <pivotArea collapsedLevelsAreSubtotals="1" fieldPosition="0">
        <references count="2">
          <reference field="1" count="10">
            <x v="0"/>
            <x v="1"/>
            <x v="3"/>
            <x v="5"/>
            <x v="6"/>
            <x v="8"/>
            <x v="9"/>
            <x v="14"/>
            <x v="21"/>
            <x v="24"/>
          </reference>
          <reference field="4" count="0" selected="0"/>
        </references>
      </pivotArea>
    </format>
    <format dxfId="19">
      <pivotArea collapsedLevelsAreSubtotals="1" fieldPosition="0">
        <references count="1">
          <reference field="4" count="0"/>
        </references>
      </pivotArea>
    </format>
    <format dxfId="18">
      <pivotArea collapsedLevelsAreSubtotals="1" fieldPosition="0">
        <references count="2">
          <reference field="1" count="10">
            <x v="0"/>
            <x v="1"/>
            <x v="3"/>
            <x v="5"/>
            <x v="6"/>
            <x v="8"/>
            <x v="9"/>
            <x v="14"/>
            <x v="21"/>
            <x v="24"/>
          </reference>
          <reference field="4" count="0" selected="0"/>
        </references>
      </pivotArea>
    </format>
    <format dxfId="17">
      <pivotArea collapsedLevelsAreSubtotals="1" fieldPosition="0">
        <references count="1">
          <reference field="1" count="3">
            <x v="7"/>
            <x v="17"/>
            <x v="26"/>
          </reference>
        </references>
      </pivotArea>
    </format>
    <format dxfId="16">
      <pivotArea collapsedLevelsAreSubtotals="1" fieldPosition="0">
        <references count="1">
          <reference field="1" count="3">
            <x v="16"/>
            <x v="18"/>
            <x v="24"/>
          </reference>
        </references>
      </pivotArea>
    </format>
    <format dxfId="15">
      <pivotArea collapsedLevelsAreSubtotals="1" fieldPosition="0">
        <references count="1">
          <reference field="1" count="3">
            <x v="16"/>
            <x v="18"/>
            <x v="24"/>
          </reference>
        </references>
      </pivotArea>
    </format>
    <format dxfId="14">
      <pivotArea collapsedLevelsAreSubtotals="1" fieldPosition="0">
        <references count="1">
          <reference field="1" count="3">
            <x v="16"/>
            <x v="18"/>
            <x v="24"/>
          </reference>
        </references>
      </pivotArea>
    </format>
    <format dxfId="13">
      <pivotArea collapsedLevelsAreSubtotals="1" fieldPosition="0">
        <references count="1">
          <reference field="1" count="3">
            <x v="16"/>
            <x v="18"/>
            <x v="24"/>
          </reference>
        </references>
      </pivotArea>
    </format>
    <format dxfId="12">
      <pivotArea collapsedLevelsAreSubtotals="1" fieldPosition="0">
        <references count="1">
          <reference field="1" count="3">
            <x v="16"/>
            <x v="18"/>
            <x v="24"/>
          </reference>
        </references>
      </pivotArea>
    </format>
    <format dxfId="11">
      <pivotArea collapsedLevelsAreSubtotals="1" fieldPosition="0">
        <references count="1">
          <reference field="1" count="3">
            <x v="16"/>
            <x v="18"/>
            <x v="24"/>
          </reference>
        </references>
      </pivotArea>
    </format>
    <format dxfId="10">
      <pivotArea collapsedLevelsAreSubtotals="1" fieldPosition="0">
        <references count="1">
          <reference field="1" count="3">
            <x v="16"/>
            <x v="18"/>
            <x v="24"/>
          </reference>
        </references>
      </pivotArea>
    </format>
    <format dxfId="9">
      <pivotArea collapsedLevelsAreSubtotals="1" fieldPosition="0">
        <references count="1">
          <reference field="1" count="3">
            <x v="16"/>
            <x v="18"/>
            <x v="24"/>
          </reference>
        </references>
      </pivotArea>
    </format>
    <format dxfId="8">
      <pivotArea collapsedLevelsAreSubtotals="1" fieldPosition="0">
        <references count="1">
          <reference field="1" count="3">
            <x v="16"/>
            <x v="18"/>
            <x v="24"/>
          </reference>
        </references>
      </pivotArea>
    </format>
    <format dxfId="7">
      <pivotArea collapsedLevelsAreSubtotals="1" fieldPosition="0">
        <references count="1">
          <reference field="1" count="3">
            <x v="16"/>
            <x v="18"/>
            <x v="24"/>
          </reference>
        </references>
      </pivotArea>
    </format>
    <format dxfId="6">
      <pivotArea collapsedLevelsAreSubtotals="1" fieldPosition="0">
        <references count="2">
          <reference field="0" count="1" selected="0">
            <x v="237"/>
          </reference>
          <reference field="1" count="1">
            <x v="12"/>
          </reference>
        </references>
      </pivotArea>
    </format>
    <format dxfId="5">
      <pivotArea collapsedLevelsAreSubtotals="1" fieldPosition="0">
        <references count="1">
          <reference field="0" count="1">
            <x v="244"/>
          </reference>
        </references>
      </pivotArea>
    </format>
    <format dxfId="4">
      <pivotArea collapsedLevelsAreSubtotals="1" fieldPosition="0">
        <references count="2">
          <reference field="0" count="1" selected="0">
            <x v="244"/>
          </reference>
          <reference field="1" count="1">
            <x v="62"/>
          </reference>
        </references>
      </pivotArea>
    </format>
    <format dxfId="3">
      <pivotArea collapsedLevelsAreSubtotals="1" fieldPosition="0">
        <references count="1">
          <reference field="0" count="1">
            <x v="253"/>
          </reference>
        </references>
      </pivotArea>
    </format>
    <format dxfId="2">
      <pivotArea collapsedLevelsAreSubtotals="1" fieldPosition="0">
        <references count="2">
          <reference field="0" count="1" selected="0">
            <x v="253"/>
          </reference>
          <reference field="1" count="1">
            <x v="69"/>
          </reference>
        </references>
      </pivotArea>
    </format>
  </formats>
  <chartFormats count="9">
    <chartFormat chart="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0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3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4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3.xml><?xml version="1.0" encoding="utf-8"?>
<pivotTableDefinition xmlns="http://schemas.openxmlformats.org/spreadsheetml/2006/main" name="PivotTable5" cacheId="0" applyNumberFormats="0" applyBorderFormats="0" applyFontFormats="0" applyPatternFormats="0" applyAlignmentFormats="0" applyWidthHeightFormats="1" dataCaption="Werte" updatedVersion="6" minRefreshableVersion="3" useAutoFormatting="1" rowGrandTotals="0" itemPrintTitles="1" createdVersion="6" indent="0" outline="1" outlineData="1" multipleFieldFilters="0" chartFormat="11">
  <location ref="A107:B107" firstHeaderRow="1" firstDataRow="1" firstDataCol="1" rowPageCount="2" colPageCount="1"/>
  <pivotFields count="13">
    <pivotField axis="axisRow" showAll="0" defaultSubtotal="0">
      <items count="2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</items>
    </pivotField>
    <pivotField axis="axisRow" showAll="0">
      <items count="78">
        <item x="0"/>
        <item x="42"/>
        <item x="47"/>
        <item m="1" x="76"/>
        <item m="1" x="74"/>
        <item x="12"/>
        <item x="43"/>
        <item x="10"/>
        <item x="27"/>
        <item x="31"/>
        <item x="34"/>
        <item m="1" x="75"/>
        <item x="48"/>
        <item x="32"/>
        <item x="11"/>
        <item x="8"/>
        <item x="5"/>
        <item x="6"/>
        <item x="9"/>
        <item x="37"/>
        <item x="38"/>
        <item x="39"/>
        <item x="40"/>
        <item x="41"/>
        <item x="33"/>
        <item x="30"/>
        <item x="13"/>
        <item x="44"/>
        <item x="7"/>
        <item x="35"/>
        <item x="14"/>
        <item x="17"/>
        <item x="18"/>
        <item x="19"/>
        <item x="20"/>
        <item x="21"/>
        <item x="22"/>
        <item x="23"/>
        <item x="24"/>
        <item x="25"/>
        <item x="26"/>
        <item x="28"/>
        <item x="1"/>
        <item x="2"/>
        <item x="3"/>
        <item x="4"/>
        <item x="29"/>
        <item x="46"/>
        <item x="45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m="1" x="73"/>
        <item x="70"/>
        <item x="16"/>
        <item x="15"/>
        <item x="36"/>
        <item x="71"/>
        <item x="72"/>
        <item t="default"/>
      </items>
    </pivotField>
    <pivotField showAll="0"/>
    <pivotField name="fuel type" axis="axisPage" showAll="0">
      <items count="14">
        <item x="0"/>
        <item x="9"/>
        <item x="8"/>
        <item x="1"/>
        <item x="2"/>
        <item x="3"/>
        <item n="hydrogen" x="4"/>
        <item x="10"/>
        <item x="6"/>
        <item x="7"/>
        <item x="5"/>
        <item x="11"/>
        <item m="1" x="12"/>
        <item t="default"/>
      </items>
    </pivotField>
    <pivotField name="characteristic" axis="axisPage" multipleItemSelectionAllowed="1" showAll="0">
      <items count="8">
        <item h="1" x="2"/>
        <item m="1" x="6"/>
        <item h="1" x="0"/>
        <item h="1" m="1" x="5"/>
        <item h="1" x="1"/>
        <item x="3"/>
        <item h="1" m="1" x="4"/>
        <item t="default"/>
      </items>
    </pivotField>
    <pivotField showAll="0"/>
    <pivotField showAll="0"/>
    <pivotField showAll="0"/>
    <pivotField dataField="1" showAll="0"/>
    <pivotField showAll="0"/>
    <pivotField showAll="0" defaultSubtotal="0"/>
    <pivotField showAll="0" defaultSubtotal="0"/>
    <pivotField showAll="0" defaultSubtotal="0"/>
  </pivotFields>
  <rowFields count="2">
    <field x="0"/>
    <field x="1"/>
  </rowFields>
  <colItems count="1">
    <i/>
  </colItems>
  <pageFields count="2">
    <pageField fld="3" item="6" hier="-1"/>
    <pageField fld="4" hier="-1"/>
  </pageFields>
  <dataFields count="1">
    <dataField name="Mittelwert von unit (converted)" fld="8" subtotal="average" baseField="3" baseItem="0"/>
  </dataFields>
  <formats count="7">
    <format dxfId="36">
      <pivotArea collapsedLevelsAreSubtotals="1" fieldPosition="0">
        <references count="1">
          <reference field="4" count="0"/>
        </references>
      </pivotArea>
    </format>
    <format dxfId="35">
      <pivotArea collapsedLevelsAreSubtotals="1" fieldPosition="0">
        <references count="2">
          <reference field="1" count="5">
            <x v="0"/>
            <x v="1"/>
            <x v="5"/>
            <x v="19"/>
            <x v="24"/>
          </reference>
          <reference field="4" count="0" selected="0"/>
        </references>
      </pivotArea>
    </format>
    <format dxfId="34">
      <pivotArea collapsedLevelsAreSubtotals="1" fieldPosition="0">
        <references count="1">
          <reference field="4" count="0"/>
        </references>
      </pivotArea>
    </format>
    <format dxfId="33">
      <pivotArea collapsedLevelsAreSubtotals="1" fieldPosition="0">
        <references count="2">
          <reference field="1" count="5">
            <x v="0"/>
            <x v="1"/>
            <x v="5"/>
            <x v="19"/>
            <x v="24"/>
          </reference>
          <reference field="4" count="0" selected="0"/>
        </references>
      </pivotArea>
    </format>
    <format dxfId="32">
      <pivotArea collapsedLevelsAreSubtotals="1" fieldPosition="0">
        <references count="1">
          <reference field="4" count="0"/>
        </references>
      </pivotArea>
    </format>
    <format dxfId="31">
      <pivotArea collapsedLevelsAreSubtotals="1" fieldPosition="0">
        <references count="2">
          <reference field="1" count="5">
            <x v="0"/>
            <x v="1"/>
            <x v="5"/>
            <x v="19"/>
            <x v="24"/>
          </reference>
          <reference field="4" count="0" selected="0"/>
        </references>
      </pivotArea>
    </format>
    <format dxfId="30">
      <pivotArea collapsedLevelsAreSubtotals="1" fieldPosition="0">
        <references count="2">
          <reference field="1" count="2">
            <x v="14"/>
            <x v="23"/>
          </reference>
          <reference field="4" count="0" selected="0"/>
        </references>
      </pivotArea>
    </format>
  </formats>
  <chartFormats count="6">
    <chartFormat chart="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0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5" cacheId="0" applyNumberFormats="0" applyBorderFormats="0" applyFontFormats="0" applyPatternFormats="0" applyAlignmentFormats="0" applyWidthHeightFormats="1" dataCaption="Werte" updatedVersion="6" minRefreshableVersion="3" rowGrandTotals="0" itemPrintTitles="1" createdVersion="6" indent="0" outline="1" outlineData="1" multipleFieldFilters="0" chartFormat="19">
  <location ref="A38:B60" firstHeaderRow="1" firstDataRow="1" firstDataCol="1" rowPageCount="4" colPageCount="1"/>
  <pivotFields count="13">
    <pivotField axis="axisRow" showAll="0" defaultSubtotal="0">
      <items count="2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</items>
    </pivotField>
    <pivotField axis="axisRow" showAll="0" defaultSubtotal="0">
      <items count="77">
        <item x="0"/>
        <item x="42"/>
        <item x="47"/>
        <item m="1" x="76"/>
        <item m="1" x="74"/>
        <item x="12"/>
        <item x="43"/>
        <item x="10"/>
        <item x="27"/>
        <item x="31"/>
        <item x="34"/>
        <item m="1" x="75"/>
        <item x="48"/>
        <item x="32"/>
        <item x="11"/>
        <item x="8"/>
        <item x="5"/>
        <item x="6"/>
        <item x="9"/>
        <item x="37"/>
        <item x="38"/>
        <item x="39"/>
        <item x="40"/>
        <item x="41"/>
        <item x="33"/>
        <item x="30"/>
        <item x="13"/>
        <item x="44"/>
        <item x="7"/>
        <item x="35"/>
        <item x="14"/>
        <item x="17"/>
        <item x="18"/>
        <item x="19"/>
        <item x="20"/>
        <item x="21"/>
        <item x="22"/>
        <item x="23"/>
        <item x="24"/>
        <item x="25"/>
        <item x="26"/>
        <item x="28"/>
        <item x="1"/>
        <item x="2"/>
        <item x="3"/>
        <item x="4"/>
        <item x="29"/>
        <item x="46"/>
        <item x="45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m="1" x="73"/>
        <item x="70"/>
        <item x="16"/>
        <item x="15"/>
        <item x="36"/>
        <item x="71"/>
        <item x="72"/>
      </items>
    </pivotField>
    <pivotField showAll="0" defaultSubtotal="0"/>
    <pivotField name="fuel type" axis="axisPage" showAll="0" defaultSubtotal="0">
      <items count="13">
        <item n="petrol" x="0"/>
        <item x="9"/>
        <item x="8"/>
        <item x="1"/>
        <item x="2"/>
        <item x="3"/>
        <item x="4"/>
        <item x="10"/>
        <item x="6"/>
        <item x="7"/>
        <item x="5"/>
        <item x="11"/>
        <item m="1" x="12"/>
      </items>
    </pivotField>
    <pivotField name="characteristic" axis="axisPage" multipleItemSelectionAllowed="1" showAll="0" defaultSubtotal="0">
      <items count="7">
        <item h="1" x="2"/>
        <item m="1" x="6"/>
        <item h="1" x="0"/>
        <item h="1" m="1" x="5"/>
        <item x="1"/>
        <item h="1" x="3"/>
        <item h="1" m="1" x="4"/>
      </items>
    </pivotField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name="optimistic/ pessimistic" axis="axisPage" showAll="0" defaultSubtotal="0">
      <items count="4">
        <item x="0"/>
        <item x="1"/>
        <item x="3"/>
        <item x="2"/>
      </items>
    </pivotField>
    <pivotField name="viability" axis="axisPage" showAll="0" defaultSubtotal="0">
      <items count="3">
        <item n="yes" x="0"/>
        <item x="1"/>
        <item m="1" x="2"/>
      </items>
    </pivotField>
  </pivotFields>
  <rowFields count="2">
    <field x="0"/>
    <field x="1"/>
  </rowFields>
  <rowItems count="22">
    <i>
      <x v="17"/>
    </i>
    <i r="1">
      <x v="16"/>
    </i>
    <i>
      <x v="38"/>
    </i>
    <i r="1">
      <x v="30"/>
    </i>
    <i>
      <x v="135"/>
    </i>
    <i r="1">
      <x v="41"/>
    </i>
    <i>
      <x v="141"/>
    </i>
    <i r="1">
      <x v="13"/>
    </i>
    <i>
      <x v="185"/>
    </i>
    <i r="1">
      <x v="48"/>
    </i>
    <i>
      <x v="193"/>
    </i>
    <i r="1">
      <x v="12"/>
    </i>
    <i>
      <x v="201"/>
    </i>
    <i r="1">
      <x v="49"/>
    </i>
    <i>
      <x v="209"/>
    </i>
    <i r="1">
      <x v="53"/>
    </i>
    <i>
      <x v="235"/>
    </i>
    <i r="1">
      <x v="48"/>
    </i>
    <i>
      <x v="238"/>
    </i>
    <i r="1">
      <x v="60"/>
    </i>
    <i>
      <x v="247"/>
    </i>
    <i r="1">
      <x v="65"/>
    </i>
  </rowItems>
  <colItems count="1">
    <i/>
  </colItems>
  <pageFields count="4">
    <pageField fld="3" item="0" hier="-1"/>
    <pageField fld="4" hier="-1"/>
    <pageField fld="12" item="0" hier="-1"/>
    <pageField fld="11" item="0" hier="-1"/>
  </pageFields>
  <dataFields count="1">
    <dataField name="Mittelwert von unit (converted)" fld="8" subtotal="average" baseField="3" baseItem="0"/>
  </dataFields>
  <formats count="7">
    <format dxfId="163">
      <pivotArea collapsedLevelsAreSubtotals="1" fieldPosition="0">
        <references count="1">
          <reference field="4" count="0"/>
        </references>
      </pivotArea>
    </format>
    <format dxfId="162">
      <pivotArea collapsedLevelsAreSubtotals="1" fieldPosition="0">
        <references count="2">
          <reference field="1" count="5">
            <x v="0"/>
            <x v="1"/>
            <x v="5"/>
            <x v="19"/>
            <x v="24"/>
          </reference>
          <reference field="4" count="0" selected="0"/>
        </references>
      </pivotArea>
    </format>
    <format dxfId="161">
      <pivotArea collapsedLevelsAreSubtotals="1" fieldPosition="0">
        <references count="1">
          <reference field="4" count="0"/>
        </references>
      </pivotArea>
    </format>
    <format dxfId="160">
      <pivotArea collapsedLevelsAreSubtotals="1" fieldPosition="0">
        <references count="2">
          <reference field="1" count="5">
            <x v="0"/>
            <x v="1"/>
            <x v="5"/>
            <x v="19"/>
            <x v="24"/>
          </reference>
          <reference field="4" count="0" selected="0"/>
        </references>
      </pivotArea>
    </format>
    <format dxfId="159">
      <pivotArea collapsedLevelsAreSubtotals="1" fieldPosition="0">
        <references count="1">
          <reference field="4" count="0"/>
        </references>
      </pivotArea>
    </format>
    <format dxfId="158">
      <pivotArea collapsedLevelsAreSubtotals="1" fieldPosition="0">
        <references count="2">
          <reference field="1" count="5">
            <x v="0"/>
            <x v="1"/>
            <x v="5"/>
            <x v="19"/>
            <x v="24"/>
          </reference>
          <reference field="4" count="0" selected="0"/>
        </references>
      </pivotArea>
    </format>
    <format dxfId="157">
      <pivotArea collapsedLevelsAreSubtotals="1" fieldPosition="0">
        <references count="1">
          <reference field="1" count="4">
            <x v="4"/>
            <x v="12"/>
            <x v="13"/>
            <x v="16"/>
          </reference>
        </references>
      </pivotArea>
    </format>
  </formats>
  <chartFormats count="5">
    <chartFormat chart="7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4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6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3" cacheId="0" applyNumberFormats="0" applyBorderFormats="0" applyFontFormats="0" applyPatternFormats="0" applyAlignmentFormats="0" applyWidthHeightFormats="1" dataCaption="Werte" updatedVersion="6" minRefreshableVersion="3" rowGrandTotals="0" itemPrintTitles="1" createdVersion="6" indent="0" outline="1" outlineData="1" multipleFieldFilters="0" chartFormat="19">
  <location ref="A38:B60" firstHeaderRow="1" firstDataRow="1" firstDataCol="1" rowPageCount="3" colPageCount="1"/>
  <pivotFields count="13">
    <pivotField axis="axisRow" showAll="0" defaultSubtotal="0">
      <items count="2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</items>
    </pivotField>
    <pivotField axis="axisRow" showAll="0" defaultSubtotal="0">
      <items count="77">
        <item x="0"/>
        <item x="42"/>
        <item x="47"/>
        <item m="1" x="76"/>
        <item m="1" x="74"/>
        <item x="12"/>
        <item x="43"/>
        <item x="10"/>
        <item x="27"/>
        <item x="31"/>
        <item x="34"/>
        <item m="1" x="75"/>
        <item x="48"/>
        <item x="32"/>
        <item x="11"/>
        <item x="8"/>
        <item x="5"/>
        <item x="6"/>
        <item x="9"/>
        <item x="37"/>
        <item x="38"/>
        <item x="39"/>
        <item x="40"/>
        <item x="41"/>
        <item x="33"/>
        <item x="30"/>
        <item x="13"/>
        <item x="44"/>
        <item x="7"/>
        <item x="35"/>
        <item x="14"/>
        <item x="17"/>
        <item x="18"/>
        <item x="19"/>
        <item x="20"/>
        <item x="21"/>
        <item x="22"/>
        <item x="23"/>
        <item x="24"/>
        <item x="25"/>
        <item x="26"/>
        <item x="28"/>
        <item x="1"/>
        <item x="2"/>
        <item x="3"/>
        <item x="4"/>
        <item x="29"/>
        <item x="46"/>
        <item x="45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m="1" x="73"/>
        <item x="70"/>
        <item x="16"/>
        <item x="15"/>
        <item x="36"/>
        <item x="71"/>
        <item x="72"/>
      </items>
    </pivotField>
    <pivotField showAll="0" defaultSubtotal="0"/>
    <pivotField name="fuel type" axis="axisPage" showAll="0" defaultSubtotal="0">
      <items count="13">
        <item x="0"/>
        <item x="9"/>
        <item x="8"/>
        <item x="1"/>
        <item x="2"/>
        <item x="3"/>
        <item x="4"/>
        <item x="10"/>
        <item x="6"/>
        <item x="7"/>
        <item x="5"/>
        <item x="11"/>
        <item m="1" x="12"/>
      </items>
    </pivotField>
    <pivotField name="characteristic" axis="axisPage" multipleItemSelectionAllowed="1" showAll="0" defaultSubtotal="0">
      <items count="7">
        <item h="1" x="2"/>
        <item m="1" x="6"/>
        <item h="1" x="0"/>
        <item h="1" m="1" x="5"/>
        <item x="1"/>
        <item h="1" x="3"/>
        <item h="1" m="1" x="4"/>
      </items>
    </pivotField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showAll="0" defaultSubtotal="0"/>
    <pivotField name="viability" axis="axisPage" showAll="0" defaultSubtotal="0">
      <items count="3">
        <item n="yes" x="0"/>
        <item x="1"/>
        <item m="1" x="2"/>
      </items>
    </pivotField>
  </pivotFields>
  <rowFields count="2">
    <field x="0"/>
    <field x="1"/>
  </rowFields>
  <rowItems count="22">
    <i>
      <x v="34"/>
    </i>
    <i r="1">
      <x v="26"/>
    </i>
    <i>
      <x v="37"/>
    </i>
    <i r="1">
      <x v="30"/>
    </i>
    <i>
      <x v="136"/>
    </i>
    <i r="1">
      <x v="41"/>
    </i>
    <i>
      <x v="167"/>
    </i>
    <i r="1">
      <x v="74"/>
    </i>
    <i>
      <x v="186"/>
    </i>
    <i r="1">
      <x v="48"/>
    </i>
    <i>
      <x v="194"/>
    </i>
    <i r="1">
      <x v="12"/>
    </i>
    <i>
      <x v="210"/>
    </i>
    <i r="1">
      <x v="53"/>
    </i>
    <i>
      <x v="236"/>
    </i>
    <i r="1">
      <x v="48"/>
    </i>
    <i>
      <x v="239"/>
    </i>
    <i r="1">
      <x v="60"/>
    </i>
    <i>
      <x v="249"/>
    </i>
    <i r="1">
      <x v="67"/>
    </i>
    <i>
      <x v="260"/>
    </i>
    <i r="1">
      <x v="75"/>
    </i>
  </rowItems>
  <colItems count="1">
    <i/>
  </colItems>
  <pageFields count="3">
    <pageField fld="3" item="3" hier="-1"/>
    <pageField fld="4" hier="-1"/>
    <pageField fld="12" item="0" hier="-1"/>
  </pageFields>
  <dataFields count="1">
    <dataField name="Mittelwert von unit (converted)" fld="8" subtotal="average" baseField="3" baseItem="0"/>
  </dataFields>
  <formats count="7">
    <format dxfId="156">
      <pivotArea collapsedLevelsAreSubtotals="1" fieldPosition="0">
        <references count="1">
          <reference field="4" count="0"/>
        </references>
      </pivotArea>
    </format>
    <format dxfId="155">
      <pivotArea collapsedLevelsAreSubtotals="1" fieldPosition="0">
        <references count="2">
          <reference field="1" count="4">
            <x v="0"/>
            <x v="1"/>
            <x v="20"/>
            <x v="24"/>
          </reference>
          <reference field="4" count="0" selected="0"/>
        </references>
      </pivotArea>
    </format>
    <format dxfId="154">
      <pivotArea collapsedLevelsAreSubtotals="1" fieldPosition="0">
        <references count="1">
          <reference field="4" count="0"/>
        </references>
      </pivotArea>
    </format>
    <format dxfId="153">
      <pivotArea collapsedLevelsAreSubtotals="1" fieldPosition="0">
        <references count="2">
          <reference field="1" count="4">
            <x v="0"/>
            <x v="1"/>
            <x v="20"/>
            <x v="24"/>
          </reference>
          <reference field="4" count="0" selected="0"/>
        </references>
      </pivotArea>
    </format>
    <format dxfId="152">
      <pivotArea collapsedLevelsAreSubtotals="1" fieldPosition="0">
        <references count="1">
          <reference field="4" count="0"/>
        </references>
      </pivotArea>
    </format>
    <format dxfId="151">
      <pivotArea collapsedLevelsAreSubtotals="1" fieldPosition="0">
        <references count="2">
          <reference field="1" count="4">
            <x v="0"/>
            <x v="1"/>
            <x v="20"/>
            <x v="24"/>
          </reference>
          <reference field="4" count="0" selected="0"/>
        </references>
      </pivotArea>
    </format>
    <format dxfId="150">
      <pivotArea collapsedLevelsAreSubtotals="1" fieldPosition="0">
        <references count="1">
          <reference field="1" count="3">
            <x v="4"/>
            <x v="12"/>
            <x v="26"/>
          </reference>
        </references>
      </pivotArea>
    </format>
  </formats>
  <chartFormats count="6">
    <chartFormat chart="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3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8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Werte" updatedVersion="6" minRefreshableVersion="3" rowGrandTotals="0" itemPrintTitles="1" createdVersion="6" indent="0" outline="1" outlineData="1" multipleFieldFilters="0" chartFormat="16">
  <location ref="A38:B42" firstHeaderRow="1" firstDataRow="1" firstDataCol="1" rowPageCount="3" colPageCount="1"/>
  <pivotFields count="13">
    <pivotField axis="axisRow" showAll="0" defaultSubtotal="0">
      <items count="2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</items>
    </pivotField>
    <pivotField axis="axisRow" showAll="0" defaultSubtotal="0">
      <items count="77">
        <item x="0"/>
        <item x="42"/>
        <item x="47"/>
        <item m="1" x="76"/>
        <item m="1" x="74"/>
        <item x="12"/>
        <item x="43"/>
        <item x="10"/>
        <item x="27"/>
        <item x="31"/>
        <item x="34"/>
        <item m="1" x="75"/>
        <item x="48"/>
        <item x="32"/>
        <item x="11"/>
        <item x="8"/>
        <item x="5"/>
        <item x="6"/>
        <item x="9"/>
        <item x="37"/>
        <item x="38"/>
        <item x="39"/>
        <item x="40"/>
        <item x="41"/>
        <item x="33"/>
        <item x="30"/>
        <item x="13"/>
        <item x="44"/>
        <item x="7"/>
        <item x="35"/>
        <item x="14"/>
        <item x="17"/>
        <item x="18"/>
        <item x="19"/>
        <item x="20"/>
        <item x="21"/>
        <item x="22"/>
        <item x="23"/>
        <item x="24"/>
        <item x="25"/>
        <item x="26"/>
        <item x="28"/>
        <item x="1"/>
        <item x="2"/>
        <item x="3"/>
        <item x="4"/>
        <item x="29"/>
        <item x="46"/>
        <item x="45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m="1" x="73"/>
        <item x="70"/>
        <item x="16"/>
        <item x="15"/>
        <item x="36"/>
        <item x="71"/>
        <item x="72"/>
      </items>
    </pivotField>
    <pivotField showAll="0" defaultSubtotal="0"/>
    <pivotField name="fuel type" axis="axisPage" showAll="0" defaultSubtotal="0">
      <items count="13">
        <item x="0"/>
        <item x="9"/>
        <item x="8"/>
        <item x="1"/>
        <item x="2"/>
        <item n="LPG" x="3"/>
        <item x="4"/>
        <item x="10"/>
        <item x="6"/>
        <item x="7"/>
        <item x="5"/>
        <item x="11"/>
        <item m="1" x="12"/>
      </items>
    </pivotField>
    <pivotField name="characteristic" axis="axisPage" multipleItemSelectionAllowed="1" showAll="0" defaultSubtotal="0">
      <items count="7">
        <item h="1" x="2"/>
        <item m="1" x="6"/>
        <item h="1" x="0"/>
        <item h="1" m="1" x="5"/>
        <item x="1"/>
        <item h="1" x="3"/>
        <item h="1" m="1" x="4"/>
      </items>
    </pivotField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showAll="0" defaultSubtotal="0"/>
    <pivotField name="viability" axis="axisPage" showAll="0" defaultSubtotal="0">
      <items count="3">
        <item n="yes" x="0"/>
        <item x="1"/>
        <item m="1" x="2"/>
      </items>
    </pivotField>
  </pivotFields>
  <rowFields count="2">
    <field x="0"/>
    <field x="1"/>
  </rowFields>
  <rowItems count="4">
    <i>
      <x v="28"/>
    </i>
    <i r="1">
      <x v="7"/>
    </i>
    <i>
      <x v="47"/>
    </i>
    <i r="1">
      <x v="72"/>
    </i>
  </rowItems>
  <colItems count="1">
    <i/>
  </colItems>
  <pageFields count="3">
    <pageField fld="3" item="5" hier="-1"/>
    <pageField fld="4" hier="-1"/>
    <pageField fld="12" item="0" hier="-1"/>
  </pageFields>
  <dataFields count="1">
    <dataField name="Mittelwert von unit (converted)" fld="8" subtotal="average" baseField="3" baseItem="0"/>
  </dataFields>
  <formats count="15">
    <format dxfId="149">
      <pivotArea collapsedLevelsAreSubtotals="1" fieldPosition="0">
        <references count="1">
          <reference field="4" count="0"/>
        </references>
      </pivotArea>
    </format>
    <format dxfId="148">
      <pivotArea collapsedLevelsAreSubtotals="1" fieldPosition="0">
        <references count="2">
          <reference field="1" count="5">
            <x v="0"/>
            <x v="1"/>
            <x v="5"/>
            <x v="19"/>
            <x v="24"/>
          </reference>
          <reference field="4" count="0" selected="0"/>
        </references>
      </pivotArea>
    </format>
    <format dxfId="147">
      <pivotArea collapsedLevelsAreSubtotals="1" fieldPosition="0">
        <references count="1">
          <reference field="4" count="0"/>
        </references>
      </pivotArea>
    </format>
    <format dxfId="146">
      <pivotArea collapsedLevelsAreSubtotals="1" fieldPosition="0">
        <references count="2">
          <reference field="1" count="5">
            <x v="0"/>
            <x v="1"/>
            <x v="5"/>
            <x v="19"/>
            <x v="24"/>
          </reference>
          <reference field="4" count="0" selected="0"/>
        </references>
      </pivotArea>
    </format>
    <format dxfId="145">
      <pivotArea collapsedLevelsAreSubtotals="1" fieldPosition="0">
        <references count="1">
          <reference field="4" count="0"/>
        </references>
      </pivotArea>
    </format>
    <format dxfId="144">
      <pivotArea collapsedLevelsAreSubtotals="1" fieldPosition="0">
        <references count="2">
          <reference field="1" count="5">
            <x v="0"/>
            <x v="1"/>
            <x v="5"/>
            <x v="19"/>
            <x v="24"/>
          </reference>
          <reference field="4" count="0" selected="0"/>
        </references>
      </pivotArea>
    </format>
    <format dxfId="143">
      <pivotArea collapsedLevelsAreSubtotals="1" fieldPosition="0">
        <references count="1">
          <reference field="4" count="0"/>
        </references>
      </pivotArea>
    </format>
    <format dxfId="142">
      <pivotArea collapsedLevelsAreSubtotals="1" fieldPosition="0">
        <references count="2">
          <reference field="1" count="4">
            <x v="0"/>
            <x v="8"/>
            <x v="22"/>
            <x v="24"/>
          </reference>
          <reference field="4" count="0" selected="0"/>
        </references>
      </pivotArea>
    </format>
    <format dxfId="141">
      <pivotArea collapsedLevelsAreSubtotals="1" fieldPosition="0">
        <references count="1">
          <reference field="4" count="0"/>
        </references>
      </pivotArea>
    </format>
    <format dxfId="140">
      <pivotArea collapsedLevelsAreSubtotals="1" fieldPosition="0">
        <references count="2">
          <reference field="1" count="4">
            <x v="0"/>
            <x v="8"/>
            <x v="22"/>
            <x v="24"/>
          </reference>
          <reference field="4" count="0" selected="0"/>
        </references>
      </pivotArea>
    </format>
    <format dxfId="139">
      <pivotArea collapsedLevelsAreSubtotals="1" fieldPosition="0">
        <references count="1">
          <reference field="4" count="0"/>
        </references>
      </pivotArea>
    </format>
    <format dxfId="138">
      <pivotArea collapsedLevelsAreSubtotals="1" fieldPosition="0">
        <references count="2">
          <reference field="1" count="4">
            <x v="0"/>
            <x v="8"/>
            <x v="22"/>
            <x v="24"/>
          </reference>
          <reference field="4" count="0" selected="0"/>
        </references>
      </pivotArea>
    </format>
    <format dxfId="137">
      <pivotArea collapsedLevelsAreSubtotals="1" fieldPosition="0">
        <references count="1">
          <reference field="4" count="0"/>
        </references>
      </pivotArea>
    </format>
    <format dxfId="136">
      <pivotArea collapsedLevelsAreSubtotals="1" fieldPosition="0">
        <references count="2">
          <reference field="1" count="4">
            <x v="0"/>
            <x v="8"/>
            <x v="22"/>
            <x v="24"/>
          </reference>
          <reference field="4" count="0" selected="0"/>
        </references>
      </pivotArea>
    </format>
    <format dxfId="135">
      <pivotArea collapsedLevelsAreSubtotals="1" fieldPosition="0">
        <references count="1">
          <reference field="1" count="1">
            <x v="7"/>
          </reference>
        </references>
      </pivotArea>
    </format>
  </formats>
  <chartFormats count="7">
    <chartFormat chart="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0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8" cacheId="0" applyNumberFormats="0" applyBorderFormats="0" applyFontFormats="0" applyPatternFormats="0" applyAlignmentFormats="0" applyWidthHeightFormats="1" dataCaption="Werte" updatedVersion="6" minRefreshableVersion="3" rowGrandTotals="0" itemPrintTitles="1" createdVersion="6" indent="0" outline="1" outlineData="1" multipleFieldFilters="0" chartFormat="16">
  <location ref="A38:B76" firstHeaderRow="1" firstDataRow="1" firstDataCol="1" rowPageCount="4" colPageCount="1"/>
  <pivotFields count="13">
    <pivotField axis="axisRow" showAll="0" defaultSubtotal="0">
      <items count="2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showAll="0" defaultSubtotal="0">
      <items count="77">
        <item x="0"/>
        <item x="42"/>
        <item x="47"/>
        <item m="1" x="76"/>
        <item m="1" x="74"/>
        <item x="12"/>
        <item x="43"/>
        <item x="10"/>
        <item x="27"/>
        <item x="31"/>
        <item x="34"/>
        <item m="1" x="75"/>
        <item x="48"/>
        <item x="32"/>
        <item x="11"/>
        <item x="8"/>
        <item x="5"/>
        <item x="6"/>
        <item x="9"/>
        <item x="37"/>
        <item x="38"/>
        <item x="39"/>
        <item x="40"/>
        <item x="41"/>
        <item x="33"/>
        <item x="30"/>
        <item x="13"/>
        <item x="44"/>
        <item x="7"/>
        <item x="35"/>
        <item x="14"/>
        <item x="17"/>
        <item x="18"/>
        <item x="19"/>
        <item x="20"/>
        <item x="21"/>
        <item x="22"/>
        <item x="23"/>
        <item x="24"/>
        <item x="25"/>
        <item x="26"/>
        <item x="28"/>
        <item x="1"/>
        <item x="2"/>
        <item x="3"/>
        <item x="4"/>
        <item x="29"/>
        <item x="46"/>
        <item x="45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m="1" x="73"/>
        <item x="70"/>
        <item x="16"/>
        <item x="15"/>
        <item x="36"/>
        <item x="71"/>
        <item x="7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name="fuel type" axis="axisPage" showAll="0" defaultSubtotal="0">
      <items count="13">
        <item x="0"/>
        <item x="9"/>
        <item x="8"/>
        <item x="1"/>
        <item n="CNG" x="2"/>
        <item x="3"/>
        <item x="4"/>
        <item x="10"/>
        <item x="6"/>
        <item x="7"/>
        <item x="5"/>
        <item x="11"/>
        <item m="1" x="1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name="characteristic" axis="axisPage" multipleItemSelectionAllowed="1" showAll="0" defaultSubtotal="0">
      <items count="7">
        <item h="1" x="2"/>
        <item m="1" x="6"/>
        <item h="1" x="0"/>
        <item h="1" m="1" x="5"/>
        <item x="1"/>
        <item h="1" x="3"/>
        <item h="1" m="1"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name="optimistic/ pessimistic" axis="axisPage" showAll="0" defaultSubtotal="0">
      <items count="4">
        <item x="0"/>
        <item x="1"/>
        <item x="3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name="viability" axis="axisPage" showAll="0" defaultSubtotal="0">
      <items count="3">
        <item n="yes" x="0"/>
        <item x="1"/>
        <item m="1" x="2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0"/>
    <field x="1"/>
  </rowFields>
  <rowItems count="38">
    <i>
      <x v="18"/>
    </i>
    <i r="1">
      <x v="17"/>
    </i>
    <i>
      <x v="27"/>
    </i>
    <i r="1">
      <x v="7"/>
    </i>
    <i>
      <x v="35"/>
    </i>
    <i r="1">
      <x v="26"/>
    </i>
    <i>
      <x v="39"/>
    </i>
    <i r="1">
      <x v="73"/>
    </i>
    <i>
      <x v="40"/>
    </i>
    <i r="1">
      <x v="73"/>
    </i>
    <i>
      <x v="41"/>
    </i>
    <i r="1">
      <x v="73"/>
    </i>
    <i>
      <x v="42"/>
    </i>
    <i r="1">
      <x v="73"/>
    </i>
    <i>
      <x v="43"/>
    </i>
    <i r="1">
      <x v="73"/>
    </i>
    <i>
      <x v="44"/>
    </i>
    <i r="1">
      <x v="73"/>
    </i>
    <i>
      <x v="45"/>
    </i>
    <i r="1">
      <x v="73"/>
    </i>
    <i>
      <x v="163"/>
    </i>
    <i r="1">
      <x v="29"/>
    </i>
    <i>
      <x v="164"/>
    </i>
    <i r="1">
      <x v="29"/>
    </i>
    <i>
      <x v="165"/>
    </i>
    <i r="1">
      <x v="29"/>
    </i>
    <i>
      <x v="166"/>
    </i>
    <i r="1">
      <x v="29"/>
    </i>
    <i>
      <x v="211"/>
    </i>
    <i r="1">
      <x v="53"/>
    </i>
    <i>
      <x v="252"/>
    </i>
    <i r="1">
      <x v="69"/>
    </i>
    <i>
      <x v="261"/>
    </i>
    <i r="1">
      <x v="76"/>
    </i>
    <i>
      <x v="262"/>
    </i>
    <i r="1">
      <x v="76"/>
    </i>
    <i>
      <x v="263"/>
    </i>
    <i r="1">
      <x v="76"/>
    </i>
  </rowItems>
  <colItems count="1">
    <i/>
  </colItems>
  <pageFields count="4">
    <pageField fld="3" item="4" hier="-1"/>
    <pageField fld="4" hier="-1"/>
    <pageField fld="12" item="0" hier="-1"/>
    <pageField fld="11" item="0" hier="-1"/>
  </pageFields>
  <dataFields count="1">
    <dataField name="Mittelwert von unit (converted)" fld="8" subtotal="average" baseField="3" baseItem="0"/>
  </dataFields>
  <formats count="13">
    <format dxfId="134">
      <pivotArea collapsedLevelsAreSubtotals="1" fieldPosition="0">
        <references count="1">
          <reference field="4" count="0"/>
        </references>
      </pivotArea>
    </format>
    <format dxfId="133">
      <pivotArea collapsedLevelsAreSubtotals="1" fieldPosition="0">
        <references count="2">
          <reference field="1" count="10">
            <x v="0"/>
            <x v="1"/>
            <x v="3"/>
            <x v="5"/>
            <x v="6"/>
            <x v="8"/>
            <x v="9"/>
            <x v="14"/>
            <x v="21"/>
            <x v="24"/>
          </reference>
          <reference field="4" count="0" selected="0"/>
        </references>
      </pivotArea>
    </format>
    <format dxfId="132">
      <pivotArea collapsedLevelsAreSubtotals="1" fieldPosition="0">
        <references count="1">
          <reference field="4" count="0"/>
        </references>
      </pivotArea>
    </format>
    <format dxfId="131">
      <pivotArea collapsedLevelsAreSubtotals="1" fieldPosition="0">
        <references count="2">
          <reference field="1" count="10">
            <x v="0"/>
            <x v="1"/>
            <x v="3"/>
            <x v="5"/>
            <x v="6"/>
            <x v="8"/>
            <x v="9"/>
            <x v="14"/>
            <x v="21"/>
            <x v="24"/>
          </reference>
          <reference field="4" count="0" selected="0"/>
        </references>
      </pivotArea>
    </format>
    <format dxfId="130">
      <pivotArea collapsedLevelsAreSubtotals="1" fieldPosition="0">
        <references count="1">
          <reference field="4" count="0"/>
        </references>
      </pivotArea>
    </format>
    <format dxfId="129">
      <pivotArea collapsedLevelsAreSubtotals="1" fieldPosition="0">
        <references count="2">
          <reference field="1" count="10">
            <x v="0"/>
            <x v="1"/>
            <x v="3"/>
            <x v="5"/>
            <x v="6"/>
            <x v="8"/>
            <x v="9"/>
            <x v="14"/>
            <x v="21"/>
            <x v="24"/>
          </reference>
          <reference field="4" count="0" selected="0"/>
        </references>
      </pivotArea>
    </format>
    <format dxfId="128">
      <pivotArea collapsedLevelsAreSubtotals="1" fieldPosition="0">
        <references count="1">
          <reference field="4" count="0"/>
        </references>
      </pivotArea>
    </format>
    <format dxfId="127">
      <pivotArea collapsedLevelsAreSubtotals="1" fieldPosition="0">
        <references count="2">
          <reference field="1" count="10">
            <x v="0"/>
            <x v="1"/>
            <x v="3"/>
            <x v="5"/>
            <x v="6"/>
            <x v="8"/>
            <x v="9"/>
            <x v="14"/>
            <x v="21"/>
            <x v="24"/>
          </reference>
          <reference field="4" count="0" selected="0"/>
        </references>
      </pivotArea>
    </format>
    <format dxfId="126">
      <pivotArea collapsedLevelsAreSubtotals="1" fieldPosition="0">
        <references count="1">
          <reference field="4" count="0"/>
        </references>
      </pivotArea>
    </format>
    <format dxfId="125">
      <pivotArea collapsedLevelsAreSubtotals="1" fieldPosition="0">
        <references count="2">
          <reference field="1" count="10">
            <x v="0"/>
            <x v="1"/>
            <x v="3"/>
            <x v="5"/>
            <x v="6"/>
            <x v="8"/>
            <x v="9"/>
            <x v="14"/>
            <x v="21"/>
            <x v="24"/>
          </reference>
          <reference field="4" count="0" selected="0"/>
        </references>
      </pivotArea>
    </format>
    <format dxfId="124">
      <pivotArea collapsedLevelsAreSubtotals="1" fieldPosition="0">
        <references count="1">
          <reference field="4" count="0"/>
        </references>
      </pivotArea>
    </format>
    <format dxfId="123">
      <pivotArea collapsedLevelsAreSubtotals="1" fieldPosition="0">
        <references count="2">
          <reference field="1" count="10">
            <x v="0"/>
            <x v="1"/>
            <x v="3"/>
            <x v="5"/>
            <x v="6"/>
            <x v="8"/>
            <x v="9"/>
            <x v="14"/>
            <x v="21"/>
            <x v="24"/>
          </reference>
          <reference field="4" count="0" selected="0"/>
        </references>
      </pivotArea>
    </format>
    <format dxfId="122">
      <pivotArea collapsedLevelsAreSubtotals="1" fieldPosition="0">
        <references count="1">
          <reference field="1" count="3">
            <x v="7"/>
            <x v="17"/>
            <x v="26"/>
          </reference>
        </references>
      </pivotArea>
    </format>
  </formats>
  <chartFormats count="7">
    <chartFormat chart="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0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</extLst>
</pivotTableDefinition>
</file>

<file path=xl/pivotTables/pivotTable6.xml><?xml version="1.0" encoding="utf-8"?>
<pivotTableDefinition xmlns="http://schemas.openxmlformats.org/spreadsheetml/2006/main" name="PivotTable7" cacheId="0" applyNumberFormats="0" applyBorderFormats="0" applyFontFormats="0" applyPatternFormats="0" applyAlignmentFormats="0" applyWidthHeightFormats="1" dataCaption="Werte" updatedVersion="6" minRefreshableVersion="3" rowGrandTotals="0" itemPrintTitles="1" createdVersion="6" indent="0" outline="1" outlineData="1" multipleFieldFilters="0" chartFormat="16">
  <location ref="A38:B84" firstHeaderRow="1" firstDataRow="1" firstDataCol="1" rowPageCount="3" colPageCount="1"/>
  <pivotFields count="13">
    <pivotField axis="axisRow" showAll="0" defaultSubtotal="0">
      <items count="2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</items>
    </pivotField>
    <pivotField axis="axisRow" showAll="0" defaultSubtotal="0">
      <items count="77">
        <item x="0"/>
        <item x="42"/>
        <item x="47"/>
        <item m="1" x="76"/>
        <item m="1" x="74"/>
        <item x="12"/>
        <item x="43"/>
        <item x="10"/>
        <item x="27"/>
        <item x="31"/>
        <item x="34"/>
        <item m="1" x="75"/>
        <item x="48"/>
        <item x="32"/>
        <item x="11"/>
        <item x="8"/>
        <item x="5"/>
        <item x="6"/>
        <item x="9"/>
        <item x="37"/>
        <item x="38"/>
        <item x="39"/>
        <item x="40"/>
        <item x="41"/>
        <item x="33"/>
        <item x="30"/>
        <item x="13"/>
        <item x="44"/>
        <item x="7"/>
        <item x="35"/>
        <item x="14"/>
        <item x="17"/>
        <item x="18"/>
        <item x="19"/>
        <item x="20"/>
        <item x="21"/>
        <item x="22"/>
        <item x="23"/>
        <item x="24"/>
        <item x="25"/>
        <item x="26"/>
        <item x="28"/>
        <item x="1"/>
        <item x="2"/>
        <item x="3"/>
        <item x="4"/>
        <item x="29"/>
        <item x="46"/>
        <item x="45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m="1" x="73"/>
        <item x="70"/>
        <item x="16"/>
        <item x="15"/>
        <item x="36"/>
        <item x="71"/>
        <item x="72"/>
      </items>
    </pivotField>
    <pivotField showAll="0" defaultSubtotal="0"/>
    <pivotField name="fuel type" axis="axisPage" showAll="0" defaultSubtotal="0">
      <items count="13">
        <item x="0"/>
        <item x="9"/>
        <item x="8"/>
        <item x="1"/>
        <item x="2"/>
        <item x="3"/>
        <item x="4"/>
        <item x="10"/>
        <item x="6"/>
        <item x="7"/>
        <item x="5"/>
        <item x="11"/>
        <item m="1" x="12"/>
      </items>
    </pivotField>
    <pivotField name="characteristic" axis="axisPage" multipleItemSelectionAllowed="1" showAll="0" defaultSubtotal="0">
      <items count="7">
        <item h="1" x="2"/>
        <item m="1" x="6"/>
        <item h="1" x="0"/>
        <item h="1" m="1" x="5"/>
        <item x="1"/>
        <item h="1" x="3"/>
        <item h="1" m="1" x="4"/>
      </items>
    </pivotField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axis="axisRow" showAll="0" defaultSubtotal="0">
      <items count="4">
        <item x="0"/>
        <item n="optimistic" x="1"/>
        <item x="3"/>
        <item x="2"/>
      </items>
    </pivotField>
    <pivotField name="viability" axis="axisPage" showAll="0" defaultSubtotal="0">
      <items count="3">
        <item n="yes" x="0"/>
        <item x="1"/>
        <item m="1" x="2"/>
      </items>
    </pivotField>
  </pivotFields>
  <rowFields count="3">
    <field x="11"/>
    <field x="0"/>
    <field x="1"/>
  </rowFields>
  <rowItems count="46">
    <i>
      <x/>
    </i>
    <i r="1">
      <x v="48"/>
    </i>
    <i r="2">
      <x v="31"/>
    </i>
    <i r="1">
      <x v="49"/>
    </i>
    <i r="2">
      <x v="31"/>
    </i>
    <i r="1">
      <x v="50"/>
    </i>
    <i r="2">
      <x v="31"/>
    </i>
    <i r="1">
      <x v="51"/>
    </i>
    <i r="2">
      <x v="31"/>
    </i>
    <i r="1">
      <x v="52"/>
    </i>
    <i r="2">
      <x v="31"/>
    </i>
    <i r="1">
      <x v="53"/>
    </i>
    <i r="2">
      <x v="31"/>
    </i>
    <i r="1">
      <x v="54"/>
    </i>
    <i r="2">
      <x v="31"/>
    </i>
    <i r="1">
      <x v="55"/>
    </i>
    <i r="2">
      <x v="31"/>
    </i>
    <i r="1">
      <x v="56"/>
    </i>
    <i r="2">
      <x v="31"/>
    </i>
    <i r="1">
      <x v="57"/>
    </i>
    <i r="2">
      <x v="31"/>
    </i>
    <i r="1">
      <x v="58"/>
    </i>
    <i r="2">
      <x v="31"/>
    </i>
    <i r="1">
      <x v="59"/>
    </i>
    <i r="2">
      <x v="31"/>
    </i>
    <i r="1">
      <x v="60"/>
    </i>
    <i r="2">
      <x v="31"/>
    </i>
    <i r="1">
      <x v="61"/>
    </i>
    <i r="2">
      <x v="31"/>
    </i>
    <i r="1">
      <x v="62"/>
    </i>
    <i r="2">
      <x v="31"/>
    </i>
    <i r="1">
      <x v="191"/>
    </i>
    <i r="2">
      <x v="2"/>
    </i>
    <i r="1">
      <x v="195"/>
    </i>
    <i r="2">
      <x v="12"/>
    </i>
    <i r="1">
      <x v="246"/>
    </i>
    <i r="2">
      <x v="64"/>
    </i>
    <i>
      <x v="1"/>
    </i>
    <i r="1">
      <x v="63"/>
    </i>
    <i r="2">
      <x v="31"/>
    </i>
    <i r="1">
      <x v="64"/>
    </i>
    <i r="2">
      <x v="31"/>
    </i>
    <i r="1">
      <x v="65"/>
    </i>
    <i r="2">
      <x v="31"/>
    </i>
    <i r="1">
      <x v="66"/>
    </i>
    <i r="2">
      <x v="31"/>
    </i>
  </rowItems>
  <colItems count="1">
    <i/>
  </colItems>
  <pageFields count="3">
    <pageField fld="3" item="2" hier="-1"/>
    <pageField fld="4" hier="-1"/>
    <pageField fld="12" item="0" hier="-1"/>
  </pageFields>
  <dataFields count="1">
    <dataField name="Mittelwert von unit (converted)" fld="8" subtotal="average" baseField="3" baseItem="0"/>
  </dataFields>
  <formats count="7">
    <format dxfId="121">
      <pivotArea collapsedLevelsAreSubtotals="1" fieldPosition="0">
        <references count="1">
          <reference field="4" count="0"/>
        </references>
      </pivotArea>
    </format>
    <format dxfId="120">
      <pivotArea collapsedLevelsAreSubtotals="1" fieldPosition="0">
        <references count="2">
          <reference field="1" count="5">
            <x v="0"/>
            <x v="1"/>
            <x v="5"/>
            <x v="19"/>
            <x v="24"/>
          </reference>
          <reference field="4" count="0" selected="0"/>
        </references>
      </pivotArea>
    </format>
    <format dxfId="119">
      <pivotArea collapsedLevelsAreSubtotals="1" fieldPosition="0">
        <references count="1">
          <reference field="4" count="0"/>
        </references>
      </pivotArea>
    </format>
    <format dxfId="118">
      <pivotArea collapsedLevelsAreSubtotals="1" fieldPosition="0">
        <references count="2">
          <reference field="1" count="5">
            <x v="0"/>
            <x v="1"/>
            <x v="5"/>
            <x v="19"/>
            <x v="24"/>
          </reference>
          <reference field="4" count="0" selected="0"/>
        </references>
      </pivotArea>
    </format>
    <format dxfId="117">
      <pivotArea collapsedLevelsAreSubtotals="1" fieldPosition="0">
        <references count="1">
          <reference field="4" count="0"/>
        </references>
      </pivotArea>
    </format>
    <format dxfId="116">
      <pivotArea collapsedLevelsAreSubtotals="1" fieldPosition="0">
        <references count="2">
          <reference field="1" count="5">
            <x v="0"/>
            <x v="1"/>
            <x v="5"/>
            <x v="19"/>
            <x v="24"/>
          </reference>
          <reference field="4" count="0" selected="0"/>
        </references>
      </pivotArea>
    </format>
    <format dxfId="115">
      <pivotArea collapsedLevelsAreSubtotals="1" fieldPosition="0">
        <references count="1">
          <reference field="1" count="2">
            <x v="2"/>
            <x v="12"/>
          </reference>
        </references>
      </pivotArea>
    </format>
  </formats>
  <chartFormats count="7">
    <chartFormat chart="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0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.xml><?xml version="1.0" encoding="utf-8"?>
<pivotTableDefinition xmlns="http://schemas.openxmlformats.org/spreadsheetml/2006/main" name="PivotTable6" cacheId="0" applyNumberFormats="0" applyBorderFormats="0" applyFontFormats="0" applyPatternFormats="0" applyAlignmentFormats="0" applyWidthHeightFormats="1" dataCaption="Werte" updatedVersion="6" minRefreshableVersion="3" rowGrandTotals="0" itemPrintTitles="1" createdVersion="6" indent="0" outline="1" outlineData="1" multipleFieldFilters="0" chartFormat="16">
  <location ref="A38:B84" firstHeaderRow="1" firstDataRow="1" firstDataCol="1" rowPageCount="3" colPageCount="1"/>
  <pivotFields count="13">
    <pivotField axis="axisRow" showAll="0" defaultSubtotal="0">
      <items count="2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</items>
    </pivotField>
    <pivotField axis="axisRow" showAll="0" defaultSubtotal="0">
      <items count="77">
        <item x="0"/>
        <item x="42"/>
        <item x="47"/>
        <item m="1" x="76"/>
        <item m="1" x="74"/>
        <item x="12"/>
        <item x="43"/>
        <item x="10"/>
        <item x="27"/>
        <item x="31"/>
        <item x="34"/>
        <item m="1" x="75"/>
        <item x="48"/>
        <item x="32"/>
        <item x="11"/>
        <item x="8"/>
        <item x="5"/>
        <item x="6"/>
        <item x="9"/>
        <item x="37"/>
        <item x="38"/>
        <item x="39"/>
        <item x="40"/>
        <item x="41"/>
        <item x="33"/>
        <item x="30"/>
        <item x="13"/>
        <item x="44"/>
        <item x="7"/>
        <item x="35"/>
        <item x="14"/>
        <item x="17"/>
        <item x="18"/>
        <item x="19"/>
        <item x="20"/>
        <item x="21"/>
        <item x="22"/>
        <item x="23"/>
        <item x="24"/>
        <item x="25"/>
        <item x="26"/>
        <item x="28"/>
        <item x="1"/>
        <item x="2"/>
        <item x="3"/>
        <item x="4"/>
        <item x="29"/>
        <item x="46"/>
        <item x="45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m="1" x="73"/>
        <item x="70"/>
        <item x="16"/>
        <item x="15"/>
        <item x="36"/>
        <item x="71"/>
        <item x="72"/>
      </items>
    </pivotField>
    <pivotField showAll="0" defaultSubtotal="0"/>
    <pivotField name="fuel type" axis="axisPage" showAll="0" defaultSubtotal="0">
      <items count="13">
        <item x="0"/>
        <item x="9"/>
        <item x="8"/>
        <item x="1"/>
        <item x="2"/>
        <item x="3"/>
        <item x="4"/>
        <item x="10"/>
        <item x="6"/>
        <item x="7"/>
        <item x="5"/>
        <item x="11"/>
        <item m="1" x="12"/>
      </items>
    </pivotField>
    <pivotField name="characteristic" axis="axisPage" multipleItemSelectionAllowed="1" showAll="0" defaultSubtotal="0">
      <items count="7">
        <item h="1" x="2"/>
        <item m="1" x="6"/>
        <item h="1" x="0"/>
        <item h="1" m="1" x="5"/>
        <item x="1"/>
        <item h="1" x="3"/>
        <item h="1" m="1" x="4"/>
      </items>
    </pivotField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axis="axisRow" showAll="0" defaultSubtotal="0">
      <items count="4">
        <item x="0"/>
        <item n="optimistic" x="1"/>
        <item x="3"/>
        <item x="2"/>
      </items>
    </pivotField>
    <pivotField name="viability" axis="axisPage" showAll="0" defaultSubtotal="0">
      <items count="3">
        <item n="yes" x="0"/>
        <item x="1"/>
        <item m="1" x="2"/>
      </items>
    </pivotField>
  </pivotFields>
  <rowFields count="3">
    <field x="11"/>
    <field x="0"/>
    <field x="1"/>
  </rowFields>
  <rowItems count="46">
    <i>
      <x/>
    </i>
    <i r="1">
      <x v="67"/>
    </i>
    <i r="2">
      <x v="32"/>
    </i>
    <i r="1">
      <x v="68"/>
    </i>
    <i r="2">
      <x v="32"/>
    </i>
    <i r="1">
      <x v="69"/>
    </i>
    <i r="2">
      <x v="32"/>
    </i>
    <i r="1">
      <x v="70"/>
    </i>
    <i r="2">
      <x v="32"/>
    </i>
    <i r="1">
      <x v="71"/>
    </i>
    <i r="2">
      <x v="32"/>
    </i>
    <i r="1">
      <x v="72"/>
    </i>
    <i r="2">
      <x v="32"/>
    </i>
    <i r="1">
      <x v="73"/>
    </i>
    <i r="2">
      <x v="32"/>
    </i>
    <i r="1">
      <x v="74"/>
    </i>
    <i r="2">
      <x v="32"/>
    </i>
    <i r="1">
      <x v="75"/>
    </i>
    <i r="2">
      <x v="32"/>
    </i>
    <i r="1">
      <x v="76"/>
    </i>
    <i r="2">
      <x v="32"/>
    </i>
    <i r="1">
      <x v="77"/>
    </i>
    <i r="2">
      <x v="32"/>
    </i>
    <i r="1">
      <x v="78"/>
    </i>
    <i r="2">
      <x v="32"/>
    </i>
    <i r="1">
      <x v="79"/>
    </i>
    <i r="2">
      <x v="32"/>
    </i>
    <i r="1">
      <x v="192"/>
    </i>
    <i r="2">
      <x v="2"/>
    </i>
    <i r="1">
      <x v="196"/>
    </i>
    <i r="2">
      <x v="12"/>
    </i>
    <i r="1">
      <x v="240"/>
    </i>
    <i r="2">
      <x v="60"/>
    </i>
    <i r="1">
      <x v="241"/>
    </i>
    <i r="2">
      <x v="61"/>
    </i>
    <i r="1">
      <x v="242"/>
    </i>
    <i r="2">
      <x v="61"/>
    </i>
    <i r="1">
      <x v="243"/>
    </i>
    <i r="2">
      <x v="61"/>
    </i>
    <i r="1">
      <x v="245"/>
    </i>
    <i r="2">
      <x v="63"/>
    </i>
    <i>
      <x v="1"/>
    </i>
    <i r="1">
      <x v="80"/>
    </i>
    <i r="2">
      <x v="32"/>
    </i>
    <i r="1">
      <x v="81"/>
    </i>
    <i r="2">
      <x v="32"/>
    </i>
  </rowItems>
  <colItems count="1">
    <i/>
  </colItems>
  <pageFields count="3">
    <pageField fld="3" item="1" hier="-1"/>
    <pageField fld="4" hier="-1"/>
    <pageField fld="12" item="0" hier="-1"/>
  </pageFields>
  <dataFields count="1">
    <dataField name="Mittelwert von unit (converted)" fld="8" subtotal="average" baseField="3" baseItem="0"/>
  </dataFields>
  <formats count="7">
    <format dxfId="114">
      <pivotArea collapsedLevelsAreSubtotals="1" fieldPosition="0">
        <references count="1">
          <reference field="4" count="0"/>
        </references>
      </pivotArea>
    </format>
    <format dxfId="113">
      <pivotArea collapsedLevelsAreSubtotals="1" fieldPosition="0">
        <references count="2">
          <reference field="1" count="5">
            <x v="0"/>
            <x v="1"/>
            <x v="5"/>
            <x v="19"/>
            <x v="24"/>
          </reference>
          <reference field="4" count="0" selected="0"/>
        </references>
      </pivotArea>
    </format>
    <format dxfId="112">
      <pivotArea collapsedLevelsAreSubtotals="1" fieldPosition="0">
        <references count="1">
          <reference field="4" count="0"/>
        </references>
      </pivotArea>
    </format>
    <format dxfId="111">
      <pivotArea collapsedLevelsAreSubtotals="1" fieldPosition="0">
        <references count="2">
          <reference field="1" count="5">
            <x v="0"/>
            <x v="1"/>
            <x v="5"/>
            <x v="19"/>
            <x v="24"/>
          </reference>
          <reference field="4" count="0" selected="0"/>
        </references>
      </pivotArea>
    </format>
    <format dxfId="110">
      <pivotArea collapsedLevelsAreSubtotals="1" fieldPosition="0">
        <references count="1">
          <reference field="4" count="0"/>
        </references>
      </pivotArea>
    </format>
    <format dxfId="109">
      <pivotArea collapsedLevelsAreSubtotals="1" fieldPosition="0">
        <references count="2">
          <reference field="1" count="5">
            <x v="0"/>
            <x v="1"/>
            <x v="5"/>
            <x v="19"/>
            <x v="24"/>
          </reference>
          <reference field="4" count="0" selected="0"/>
        </references>
      </pivotArea>
    </format>
    <format dxfId="108">
      <pivotArea collapsedLevelsAreSubtotals="1" fieldPosition="0">
        <references count="1">
          <reference field="1" count="2">
            <x v="2"/>
            <x v="12"/>
          </reference>
        </references>
      </pivotArea>
    </format>
  </formats>
  <chartFormats count="7">
    <chartFormat chart="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0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8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Werte" updatedVersion="6" minRefreshableVersion="3" rowGrandTotals="0" colGrandTotals="0" itemPrintTitles="1" createdVersion="6" indent="0" outline="1" outlineData="1" multipleFieldFilters="0" chartFormat="15">
  <location ref="A38:B161" firstHeaderRow="1" firstDataRow="1" firstDataCol="1" rowPageCount="3" colPageCount="1"/>
  <pivotFields count="13">
    <pivotField axis="axisRow" showAll="0" nonAutoSortDefault="1" defaultSubtotal="0">
      <items count="2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showAll="0" sortType="ascending" defaultSubtotal="0">
      <items count="77">
        <item x="0"/>
        <item x="42"/>
        <item x="47"/>
        <item m="1" x="76"/>
        <item m="1" x="74"/>
        <item x="12"/>
        <item x="43"/>
        <item x="10"/>
        <item x="27"/>
        <item x="31"/>
        <item x="34"/>
        <item m="1" x="75"/>
        <item x="48"/>
        <item x="32"/>
        <item x="11"/>
        <item x="8"/>
        <item x="5"/>
        <item x="6"/>
        <item x="9"/>
        <item x="37"/>
        <item x="38"/>
        <item x="39"/>
        <item x="40"/>
        <item x="41"/>
        <item x="33"/>
        <item x="30"/>
        <item x="13"/>
        <item x="44"/>
        <item x="7"/>
        <item x="35"/>
        <item x="14"/>
        <item x="17"/>
        <item x="18"/>
        <item x="19"/>
        <item x="20"/>
        <item x="21"/>
        <item x="22"/>
        <item x="23"/>
        <item x="24"/>
        <item x="25"/>
        <item x="26"/>
        <item x="28"/>
        <item x="1"/>
        <item x="2"/>
        <item x="3"/>
        <item x="4"/>
        <item x="29"/>
        <item x="46"/>
        <item x="45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m="1" x="73"/>
        <item x="70"/>
        <item x="16"/>
        <item x="15"/>
        <item x="36"/>
        <item x="71"/>
        <item x="72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  <extLst>
        <ext xmlns:x14="http://schemas.microsoft.com/office/spreadsheetml/2009/9/main" uri="{2946ED86-A175-432a-8AC1-64E0C546D7DE}">
          <x14:pivotField fillDownLabels="1"/>
        </ext>
      </extLst>
    </pivotField>
    <pivotField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name="fuel type" axis="axisPage" showAll="0" defaultSubtotal="0">
      <items count="13">
        <item x="0"/>
        <item x="9"/>
        <item x="8"/>
        <item x="1"/>
        <item x="2"/>
        <item x="3"/>
        <item n="hydrogen" x="4"/>
        <item x="10"/>
        <item x="6"/>
        <item x="7"/>
        <item x="5"/>
        <item x="11"/>
        <item m="1" x="1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name="characteristic" axis="axisPage" multipleItemSelectionAllowed="1" showAll="0" defaultSubtotal="0">
      <items count="7">
        <item h="1" x="2"/>
        <item m="1" x="6"/>
        <item h="1" x="0"/>
        <item h="1" m="1" x="5"/>
        <item x="1"/>
        <item h="1" x="3"/>
        <item h="1" m="1"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showAll="0" nonAutoSortDefault="1" defaultSubtotal="0">
      <items count="4">
        <item n="optimistic" x="1"/>
        <item x="0"/>
        <item x="2"/>
        <item n="pessimistic"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name="viability" axis="axisPage" showAll="0" defaultSubtotal="0">
      <items count="3">
        <item n="yes" x="0"/>
        <item x="1"/>
        <item m="1" x="2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11"/>
    <field x="0"/>
    <field x="1"/>
  </rowFields>
  <rowItems count="123">
    <i>
      <x/>
    </i>
    <i r="1">
      <x v="6"/>
    </i>
    <i r="2">
      <x v="42"/>
    </i>
    <i r="1">
      <x v="7"/>
    </i>
    <i r="2">
      <x v="42"/>
    </i>
    <i r="1">
      <x v="9"/>
    </i>
    <i r="2">
      <x v="43"/>
    </i>
    <i r="1">
      <x v="10"/>
    </i>
    <i r="2">
      <x v="43"/>
    </i>
    <i r="1">
      <x v="117"/>
    </i>
    <i r="2">
      <x v="38"/>
    </i>
    <i r="1">
      <x v="118"/>
    </i>
    <i r="2">
      <x v="38"/>
    </i>
    <i r="1">
      <x v="119"/>
    </i>
    <i r="2">
      <x v="38"/>
    </i>
    <i r="1">
      <x v="120"/>
    </i>
    <i r="2">
      <x v="38"/>
    </i>
    <i r="1">
      <x v="121"/>
    </i>
    <i r="2">
      <x v="38"/>
    </i>
    <i r="1">
      <x v="126"/>
    </i>
    <i r="2">
      <x v="39"/>
    </i>
    <i r="1">
      <x v="127"/>
    </i>
    <i r="2">
      <x v="39"/>
    </i>
    <i r="1">
      <x v="130"/>
    </i>
    <i r="2">
      <x v="39"/>
    </i>
    <i r="1">
      <x v="137"/>
    </i>
    <i r="2">
      <x v="46"/>
    </i>
    <i r="1">
      <x v="190"/>
    </i>
    <i r="2">
      <x v="47"/>
    </i>
    <i r="1">
      <x v="203"/>
    </i>
    <i r="2">
      <x v="51"/>
    </i>
    <i r="1">
      <x v="213"/>
    </i>
    <i r="2">
      <x v="53"/>
    </i>
    <i r="1">
      <x v="214"/>
    </i>
    <i r="2">
      <x v="53"/>
    </i>
    <i r="1">
      <x v="215"/>
    </i>
    <i r="2">
      <x v="53"/>
    </i>
    <i r="1">
      <x v="216"/>
    </i>
    <i r="2">
      <x v="54"/>
    </i>
    <i r="1">
      <x v="217"/>
    </i>
    <i r="2">
      <x v="54"/>
    </i>
    <i r="1">
      <x v="254"/>
    </i>
    <i r="2">
      <x v="71"/>
    </i>
    <i r="1">
      <x v="255"/>
    </i>
    <i r="2">
      <x v="71"/>
    </i>
    <i r="1">
      <x v="256"/>
    </i>
    <i r="2">
      <x v="71"/>
    </i>
    <i r="1">
      <x v="257"/>
    </i>
    <i r="2">
      <x v="71"/>
    </i>
    <i r="1">
      <x v="258"/>
    </i>
    <i r="2">
      <x v="71"/>
    </i>
    <i>
      <x v="1"/>
    </i>
    <i r="1">
      <x v="5"/>
    </i>
    <i r="2">
      <x v="42"/>
    </i>
    <i r="1">
      <x v="8"/>
    </i>
    <i r="2">
      <x v="43"/>
    </i>
    <i r="1">
      <x v="16"/>
    </i>
    <i r="2">
      <x v="45"/>
    </i>
    <i r="1">
      <x v="99"/>
    </i>
    <i r="2">
      <x v="36"/>
    </i>
    <i r="1">
      <x v="100"/>
    </i>
    <i r="2">
      <x v="36"/>
    </i>
    <i r="1">
      <x v="101"/>
    </i>
    <i r="2">
      <x v="36"/>
    </i>
    <i r="1">
      <x v="102"/>
    </i>
    <i r="2">
      <x v="36"/>
    </i>
    <i r="1">
      <x v="103"/>
    </i>
    <i r="2">
      <x v="36"/>
    </i>
    <i r="1">
      <x v="104"/>
    </i>
    <i r="2">
      <x v="36"/>
    </i>
    <i r="1">
      <x v="105"/>
    </i>
    <i r="2">
      <x v="36"/>
    </i>
    <i r="1">
      <x v="106"/>
    </i>
    <i r="2">
      <x v="36"/>
    </i>
    <i r="1">
      <x v="107"/>
    </i>
    <i r="2">
      <x v="37"/>
    </i>
    <i r="1">
      <x v="108"/>
    </i>
    <i r="2">
      <x v="37"/>
    </i>
    <i r="1">
      <x v="109"/>
    </i>
    <i r="2">
      <x v="37"/>
    </i>
    <i r="1">
      <x v="110"/>
    </i>
    <i r="2">
      <x v="37"/>
    </i>
    <i r="1">
      <x v="111"/>
    </i>
    <i r="2">
      <x v="37"/>
    </i>
    <i r="1">
      <x v="112"/>
    </i>
    <i r="2">
      <x v="37"/>
    </i>
    <i r="1">
      <x v="113"/>
    </i>
    <i r="2">
      <x v="37"/>
    </i>
    <i r="1">
      <x v="114"/>
    </i>
    <i r="2">
      <x v="37"/>
    </i>
    <i r="1">
      <x v="115"/>
    </i>
    <i r="2">
      <x v="38"/>
    </i>
    <i r="1">
      <x v="122"/>
    </i>
    <i r="2">
      <x v="39"/>
    </i>
    <i r="1">
      <x v="123"/>
    </i>
    <i r="2">
      <x v="39"/>
    </i>
    <i r="1">
      <x v="124"/>
    </i>
    <i r="2">
      <x v="39"/>
    </i>
    <i r="1">
      <x v="125"/>
    </i>
    <i r="2">
      <x v="39"/>
    </i>
    <i r="1">
      <x v="128"/>
    </i>
    <i r="2">
      <x v="39"/>
    </i>
    <i r="1">
      <x v="188"/>
    </i>
    <i r="2">
      <x v="47"/>
    </i>
    <i r="1">
      <x v="189"/>
    </i>
    <i r="2">
      <x v="47"/>
    </i>
    <i r="1">
      <x v="200"/>
    </i>
    <i r="2">
      <x v="49"/>
    </i>
    <i r="1">
      <x v="202"/>
    </i>
    <i r="2">
      <x v="50"/>
    </i>
    <i r="1">
      <x v="212"/>
    </i>
    <i r="2">
      <x v="53"/>
    </i>
    <i r="1">
      <x v="218"/>
    </i>
    <i r="2">
      <x v="54"/>
    </i>
    <i r="1">
      <x v="259"/>
    </i>
    <i r="2">
      <x v="71"/>
    </i>
    <i>
      <x v="3"/>
    </i>
    <i r="1">
      <x v="116"/>
    </i>
    <i r="2">
      <x v="38"/>
    </i>
    <i r="1">
      <x v="129"/>
    </i>
    <i r="2">
      <x v="39"/>
    </i>
    <i r="1">
      <x v="138"/>
    </i>
    <i r="2">
      <x v="46"/>
    </i>
  </rowItems>
  <colItems count="1">
    <i/>
  </colItems>
  <pageFields count="3">
    <pageField fld="3" item="6" hier="-1"/>
    <pageField fld="4" hier="-1"/>
    <pageField fld="12" item="0" hier="-1"/>
  </pageFields>
  <dataFields count="1">
    <dataField name="Mittelwert von unit (converted)" fld="8" subtotal="average" baseField="3" baseItem="0"/>
  </dataFields>
  <formats count="7">
    <format dxfId="107">
      <pivotArea collapsedLevelsAreSubtotals="1" fieldPosition="0">
        <references count="1">
          <reference field="4" count="0"/>
        </references>
      </pivotArea>
    </format>
    <format dxfId="106">
      <pivotArea collapsedLevelsAreSubtotals="1" fieldPosition="0">
        <references count="2">
          <reference field="1" count="5">
            <x v="0"/>
            <x v="1"/>
            <x v="5"/>
            <x v="19"/>
            <x v="24"/>
          </reference>
          <reference field="4" count="0" selected="0"/>
        </references>
      </pivotArea>
    </format>
    <format dxfId="105">
      <pivotArea collapsedLevelsAreSubtotals="1" fieldPosition="0">
        <references count="1">
          <reference field="4" count="0"/>
        </references>
      </pivotArea>
    </format>
    <format dxfId="104">
      <pivotArea collapsedLevelsAreSubtotals="1" fieldPosition="0">
        <references count="2">
          <reference field="1" count="5">
            <x v="0"/>
            <x v="1"/>
            <x v="5"/>
            <x v="19"/>
            <x v="24"/>
          </reference>
          <reference field="4" count="0" selected="0"/>
        </references>
      </pivotArea>
    </format>
    <format dxfId="103">
      <pivotArea collapsedLevelsAreSubtotals="1" fieldPosition="0">
        <references count="1">
          <reference field="4" count="0"/>
        </references>
      </pivotArea>
    </format>
    <format dxfId="102">
      <pivotArea collapsedLevelsAreSubtotals="1" fieldPosition="0">
        <references count="2">
          <reference field="1" count="5">
            <x v="0"/>
            <x v="1"/>
            <x v="5"/>
            <x v="19"/>
            <x v="24"/>
          </reference>
          <reference field="4" count="0" selected="0"/>
        </references>
      </pivotArea>
    </format>
    <format dxfId="101">
      <pivotArea collapsedLevelsAreSubtotals="1" fieldPosition="0">
        <references count="2">
          <reference field="1" count="2">
            <x v="14"/>
            <x v="23"/>
          </reference>
          <reference field="4" count="0" selected="0"/>
        </references>
      </pivotArea>
    </format>
  </formats>
  <chartFormats count="5">
    <chartFormat chart="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2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</extLst>
</pivotTableDefinition>
</file>

<file path=xl/pivotTables/pivotTable9.xml><?xml version="1.0" encoding="utf-8"?>
<pivotTableDefinition xmlns="http://schemas.openxmlformats.org/spreadsheetml/2006/main" name="PivotTable3" cacheId="0" applyNumberFormats="0" applyBorderFormats="0" applyFontFormats="0" applyPatternFormats="0" applyAlignmentFormats="0" applyWidthHeightFormats="1" dataCaption="Werte" updatedVersion="6" minRefreshableVersion="3" rowGrandTotals="0" itemPrintTitles="1" createdVersion="6" indent="0" outline="1" outlineData="1" multipleFieldFilters="0" chartFormat="22">
  <location ref="A38:B50" firstHeaderRow="1" firstDataRow="1" firstDataCol="1" rowPageCount="3" colPageCount="1"/>
  <pivotFields count="13">
    <pivotField axis="axisRow" showAll="0" defaultSubtotal="0">
      <items count="2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</items>
    </pivotField>
    <pivotField axis="axisRow" showAll="0" defaultSubtotal="0">
      <items count="77">
        <item x="0"/>
        <item x="42"/>
        <item x="47"/>
        <item m="1" x="76"/>
        <item m="1" x="74"/>
        <item x="12"/>
        <item x="43"/>
        <item x="10"/>
        <item x="27"/>
        <item x="31"/>
        <item x="34"/>
        <item m="1" x="75"/>
        <item x="48"/>
        <item x="32"/>
        <item x="11"/>
        <item x="8"/>
        <item x="5"/>
        <item x="6"/>
        <item x="9"/>
        <item x="37"/>
        <item x="38"/>
        <item x="39"/>
        <item x="40"/>
        <item x="41"/>
        <item x="33"/>
        <item x="30"/>
        <item x="13"/>
        <item x="44"/>
        <item x="7"/>
        <item x="35"/>
        <item x="14"/>
        <item x="17"/>
        <item x="18"/>
        <item x="19"/>
        <item x="20"/>
        <item x="21"/>
        <item x="22"/>
        <item x="23"/>
        <item x="24"/>
        <item x="25"/>
        <item x="26"/>
        <item x="28"/>
        <item x="1"/>
        <item x="2"/>
        <item x="3"/>
        <item x="4"/>
        <item x="29"/>
        <item x="46"/>
        <item x="45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m="1" x="73"/>
        <item x="70"/>
        <item x="16"/>
        <item x="15"/>
        <item x="36"/>
        <item x="71"/>
        <item x="72"/>
      </items>
    </pivotField>
    <pivotField showAll="0" defaultSubtotal="0"/>
    <pivotField name="fuel type" axis="axisPage" showAll="0" defaultSubtotal="0">
      <items count="13">
        <item n="petrol" x="0"/>
        <item x="9"/>
        <item x="8"/>
        <item x="1"/>
        <item x="2"/>
        <item x="3"/>
        <item x="4"/>
        <item x="10"/>
        <item x="6"/>
        <item x="7"/>
        <item x="5"/>
        <item x="11"/>
        <item m="1" x="12"/>
      </items>
    </pivotField>
    <pivotField name="characteristic" axis="axisPage" multipleItemSelectionAllowed="1" showAll="0" defaultSubtotal="0">
      <items count="7">
        <item h="1" x="2"/>
        <item m="1" x="6"/>
        <item h="1" x="0"/>
        <item h="1" m="1" x="5"/>
        <item h="1" x="1"/>
        <item x="3"/>
        <item h="1" m="1" x="4"/>
      </items>
    </pivotField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showAll="0" defaultSubtotal="0"/>
    <pivotField name="viability" axis="axisPage" showAll="0" defaultSubtotal="0">
      <items count="3">
        <item n="yes" x="0"/>
        <item x="1"/>
        <item m="1" x="2"/>
      </items>
    </pivotField>
  </pivotFields>
  <rowFields count="2">
    <field x="0"/>
    <field x="1"/>
  </rowFields>
  <rowItems count="12">
    <i>
      <x v="24"/>
    </i>
    <i r="1">
      <x v="15"/>
    </i>
    <i>
      <x v="154"/>
    </i>
    <i r="1">
      <x v="10"/>
    </i>
    <i>
      <x v="157"/>
    </i>
    <i r="1">
      <x v="24"/>
    </i>
    <i>
      <x v="173"/>
    </i>
    <i r="1">
      <x v="13"/>
    </i>
    <i>
      <x v="197"/>
    </i>
    <i r="1">
      <x v="12"/>
    </i>
    <i>
      <x v="248"/>
    </i>
    <i r="1">
      <x v="66"/>
    </i>
  </rowItems>
  <colItems count="1">
    <i/>
  </colItems>
  <pageFields count="3">
    <pageField fld="3" item="0" hier="-1"/>
    <pageField fld="4" hier="-1"/>
    <pageField fld="12" item="0" hier="-1"/>
  </pageFields>
  <dataFields count="1">
    <dataField name="Mittelwert von unit (converted)" fld="8" subtotal="average" baseField="3" baseItem="0"/>
  </dataFields>
  <formats count="19">
    <format dxfId="100">
      <pivotArea collapsedLevelsAreSubtotals="1" fieldPosition="0">
        <references count="1">
          <reference field="4" count="0"/>
        </references>
      </pivotArea>
    </format>
    <format dxfId="99">
      <pivotArea collapsedLevelsAreSubtotals="1" fieldPosition="0">
        <references count="2">
          <reference field="1" count="5">
            <x v="0"/>
            <x v="1"/>
            <x v="5"/>
            <x v="19"/>
            <x v="24"/>
          </reference>
          <reference field="4" count="0" selected="0"/>
        </references>
      </pivotArea>
    </format>
    <format dxfId="98">
      <pivotArea collapsedLevelsAreSubtotals="1" fieldPosition="0">
        <references count="1">
          <reference field="4" count="0"/>
        </references>
      </pivotArea>
    </format>
    <format dxfId="97">
      <pivotArea collapsedLevelsAreSubtotals="1" fieldPosition="0">
        <references count="2">
          <reference field="1" count="5">
            <x v="0"/>
            <x v="1"/>
            <x v="5"/>
            <x v="19"/>
            <x v="24"/>
          </reference>
          <reference field="4" count="0" selected="0"/>
        </references>
      </pivotArea>
    </format>
    <format dxfId="96">
      <pivotArea collapsedLevelsAreSubtotals="1" fieldPosition="0">
        <references count="1">
          <reference field="4" count="0"/>
        </references>
      </pivotArea>
    </format>
    <format dxfId="95">
      <pivotArea collapsedLevelsAreSubtotals="1" fieldPosition="0">
        <references count="2">
          <reference field="1" count="5">
            <x v="0"/>
            <x v="1"/>
            <x v="5"/>
            <x v="19"/>
            <x v="24"/>
          </reference>
          <reference field="4" count="0" selected="0"/>
        </references>
      </pivotArea>
    </format>
    <format dxfId="94">
      <pivotArea collapsedLevelsAreSubtotals="1" fieldPosition="0">
        <references count="1">
          <reference field="1" count="4">
            <x v="4"/>
            <x v="12"/>
            <x v="13"/>
            <x v="16"/>
          </reference>
        </references>
      </pivotArea>
    </format>
    <format dxfId="93">
      <pivotArea collapsedLevelsAreSubtotals="1" fieldPosition="0">
        <references count="1">
          <reference field="1" count="5">
            <x v="10"/>
            <x v="11"/>
            <x v="13"/>
            <x v="15"/>
            <x v="24"/>
          </reference>
        </references>
      </pivotArea>
    </format>
    <format dxfId="92">
      <pivotArea collapsedLevelsAreSubtotals="1" fieldPosition="0">
        <references count="1">
          <reference field="1" count="5">
            <x v="10"/>
            <x v="11"/>
            <x v="13"/>
            <x v="15"/>
            <x v="24"/>
          </reference>
        </references>
      </pivotArea>
    </format>
    <format dxfId="91">
      <pivotArea collapsedLevelsAreSubtotals="1" fieldPosition="0">
        <references count="1">
          <reference field="1" count="5">
            <x v="10"/>
            <x v="11"/>
            <x v="13"/>
            <x v="15"/>
            <x v="24"/>
          </reference>
        </references>
      </pivotArea>
    </format>
    <format dxfId="90">
      <pivotArea collapsedLevelsAreSubtotals="1" fieldPosition="0">
        <references count="1">
          <reference field="1" count="5">
            <x v="10"/>
            <x v="11"/>
            <x v="13"/>
            <x v="15"/>
            <x v="24"/>
          </reference>
        </references>
      </pivotArea>
    </format>
    <format dxfId="89">
      <pivotArea collapsedLevelsAreSubtotals="1" fieldPosition="0">
        <references count="1">
          <reference field="1" count="5">
            <x v="10"/>
            <x v="11"/>
            <x v="13"/>
            <x v="15"/>
            <x v="24"/>
          </reference>
        </references>
      </pivotArea>
    </format>
    <format dxfId="88">
      <pivotArea collapsedLevelsAreSubtotals="1" fieldPosition="0">
        <references count="1">
          <reference field="1" count="5">
            <x v="10"/>
            <x v="11"/>
            <x v="13"/>
            <x v="15"/>
            <x v="24"/>
          </reference>
        </references>
      </pivotArea>
    </format>
    <format dxfId="87">
      <pivotArea collapsedLevelsAreSubtotals="1" fieldPosition="0">
        <references count="1">
          <reference field="1" count="5">
            <x v="10"/>
            <x v="11"/>
            <x v="13"/>
            <x v="15"/>
            <x v="24"/>
          </reference>
        </references>
      </pivotArea>
    </format>
    <format dxfId="86">
      <pivotArea collapsedLevelsAreSubtotals="1" fieldPosition="0">
        <references count="1">
          <reference field="1" count="5">
            <x v="10"/>
            <x v="11"/>
            <x v="13"/>
            <x v="15"/>
            <x v="24"/>
          </reference>
        </references>
      </pivotArea>
    </format>
    <format dxfId="85">
      <pivotArea collapsedLevelsAreSubtotals="1" fieldPosition="0">
        <references count="1">
          <reference field="1" count="5">
            <x v="10"/>
            <x v="11"/>
            <x v="13"/>
            <x v="15"/>
            <x v="24"/>
          </reference>
        </references>
      </pivotArea>
    </format>
    <format dxfId="84">
      <pivotArea collapsedLevelsAreSubtotals="1" fieldPosition="0">
        <references count="1">
          <reference field="1" count="5">
            <x v="10"/>
            <x v="11"/>
            <x v="13"/>
            <x v="15"/>
            <x v="24"/>
          </reference>
        </references>
      </pivotArea>
    </format>
    <format dxfId="83">
      <pivotArea collapsedLevelsAreSubtotals="1" fieldPosition="0">
        <references count="2">
          <reference field="0" count="1" selected="0">
            <x v="197"/>
          </reference>
          <reference field="1" count="1">
            <x v="12"/>
          </reference>
        </references>
      </pivotArea>
    </format>
    <format dxfId="82">
      <pivotArea collapsedLevelsAreSubtotals="1" fieldPosition="0">
        <references count="2">
          <reference field="0" count="1" selected="0">
            <x v="248"/>
          </reference>
          <reference field="1" count="1">
            <x v="66"/>
          </reference>
        </references>
      </pivotArea>
    </format>
  </formats>
  <chartFormats count="7">
    <chartFormat chart="7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4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6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8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1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5" name="Tabelle_alle_Kennzahlen" displayName="Tabelle_alle_Kennzahlen" ref="A2:L295" totalsRowShown="0" headerRowDxfId="172">
  <autoFilter ref="A2:L295"/>
  <sortState ref="A8:M279">
    <sortCondition ref="I2:I295"/>
  </sortState>
  <tableColumns count="12">
    <tableColumn id="13" name="nr." dataDxfId="171"/>
    <tableColumn id="2" name="Reference"/>
    <tableColumn id="12" name="publication year"/>
    <tableColumn id="3" name="fuel type"/>
    <tableColumn id="11" name="characteristic"/>
    <tableColumn id="5" name="unit (research)"/>
    <tableColumn id="6" name="value (research)"/>
    <tableColumn id="7" name="unit (converted)"/>
    <tableColumn id="8" name="value (converted)" dataDxfId="170">
      <calculatedColumnFormula>Tabelle_alle_Kennzahlen[[#This Row],[value (research)]]</calculatedColumnFormula>
    </tableColumn>
    <tableColumn id="4" name="year of reference"/>
    <tableColumn id="1" name="scenario"/>
    <tableColumn id="14" name="viability"/>
  </tableColumns>
  <tableStyleInfo name="TableStyleLight13" showFirstColumn="0" showLastColumn="0" showRowStripes="1" showColumnStripes="0"/>
</table>
</file>

<file path=xl/tables/table2.xml><?xml version="1.0" encoding="utf-8"?>
<table xmlns="http://schemas.openxmlformats.org/spreadsheetml/2006/main" id="4" name="Tabelle24575" displayName="Tabelle24575" ref="A2:J30" totalsRowShown="0" headerRowDxfId="169">
  <autoFilter ref="A2:J30"/>
  <sortState ref="A3:M30">
    <sortCondition ref="A2:A30"/>
  </sortState>
  <tableColumns count="10">
    <tableColumn id="1" name="nr." dataDxfId="168"/>
    <tableColumn id="2" name="Reference"/>
    <tableColumn id="3" name="publication year"/>
    <tableColumn id="4" name="fuel type"/>
    <tableColumn id="5" name="Blend" dataDxfId="167"/>
    <tableColumn id="6" name="percentage" dataDxfId="166"/>
    <tableColumn id="7" name="lower heating value" dataDxfId="165">
      <calculatedColumnFormula>(1-Tabelle24575[[#This Row],[percentage]])*'1'!$AI$86+Tabelle24575[[#This Row],[percentage]]*'1'!I63</calculatedColumnFormula>
    </tableColumn>
    <tableColumn id="8" name="density in kg/l" dataDxfId="164">
      <calculatedColumnFormula>(1-Tabelle24575[[#This Row],[percentage]])*'2'!E13+Tabelle24575[[#This Row],[percentage]]*'2'!E49</calculatedColumnFormula>
    </tableColumn>
    <tableColumn id="9" name="fuel supply emissions in kg CO2/kg fuel"/>
    <tableColumn id="10" name="direct fuel emissions in g CO2/J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6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ivotTable" Target="../pivotTables/pivotTable7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ivotTable" Target="../pivotTables/pivotTable8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ivotTable" Target="../pivotTables/pivotTable9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ivotTable" Target="../pivotTables/pivotTable10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ivotTable" Target="../pivotTables/pivotTable11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ivotTable" Target="../pivotTables/pivotTable13.xml"/><Relationship Id="rId1" Type="http://schemas.openxmlformats.org/officeDocument/2006/relationships/pivotTable" Target="../pivotTables/pivotTable1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3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tabSelected="1" zoomScale="90" zoomScaleNormal="90" workbookViewId="0"/>
  </sheetViews>
  <sheetFormatPr defaultColWidth="9.109375" defaultRowHeight="14.4" x14ac:dyDescent="0.3"/>
  <cols>
    <col min="1" max="4" width="9.109375" style="78"/>
    <col min="5" max="5" width="19.109375" style="78" customWidth="1"/>
    <col min="6" max="6" width="5.33203125" style="78" customWidth="1"/>
    <col min="7" max="7" width="23.44140625" style="78" customWidth="1"/>
    <col min="8" max="16384" width="9.109375" style="78"/>
  </cols>
  <sheetData>
    <row r="1" spans="1:7" ht="23.4" x14ac:dyDescent="0.45">
      <c r="A1" s="38"/>
      <c r="B1" s="39" t="s">
        <v>119</v>
      </c>
      <c r="C1" s="40"/>
      <c r="D1" s="40"/>
      <c r="E1" s="40"/>
      <c r="F1" s="40"/>
      <c r="G1" s="40"/>
    </row>
    <row r="2" spans="1:7" ht="18" x14ac:dyDescent="0.35">
      <c r="A2" s="38"/>
      <c r="B2" s="41"/>
      <c r="C2" s="40"/>
      <c r="D2" s="40"/>
      <c r="E2" s="40"/>
      <c r="F2" s="40"/>
      <c r="G2" s="40"/>
    </row>
    <row r="3" spans="1:7" ht="18" x14ac:dyDescent="0.35">
      <c r="A3" s="42">
        <v>1</v>
      </c>
      <c r="B3" s="43" t="s">
        <v>116</v>
      </c>
      <c r="C3" s="44"/>
      <c r="D3" s="44"/>
      <c r="E3" s="44"/>
      <c r="F3" s="44"/>
      <c r="G3" s="44"/>
    </row>
    <row r="4" spans="1:7" ht="7.95" customHeight="1" x14ac:dyDescent="0.35">
      <c r="A4" s="38"/>
      <c r="B4" s="41"/>
      <c r="C4" s="40"/>
      <c r="D4" s="40"/>
      <c r="E4" s="40"/>
      <c r="F4" s="40"/>
      <c r="G4" s="40"/>
    </row>
    <row r="5" spans="1:7" ht="18" x14ac:dyDescent="0.35">
      <c r="A5" s="45">
        <v>2</v>
      </c>
      <c r="B5" s="46" t="s">
        <v>117</v>
      </c>
      <c r="C5" s="47"/>
      <c r="D5" s="47"/>
      <c r="E5" s="47"/>
      <c r="F5" s="47"/>
      <c r="G5" s="47"/>
    </row>
    <row r="6" spans="1:7" ht="7.95" customHeight="1" x14ac:dyDescent="0.35">
      <c r="A6" s="38"/>
      <c r="B6" s="41"/>
      <c r="C6" s="40"/>
      <c r="D6" s="40"/>
      <c r="E6" s="40"/>
      <c r="F6" s="40"/>
      <c r="G6" s="40"/>
    </row>
    <row r="7" spans="1:7" ht="18" x14ac:dyDescent="0.35">
      <c r="A7" s="67">
        <v>3</v>
      </c>
      <c r="B7" s="68" t="s">
        <v>118</v>
      </c>
      <c r="C7" s="69"/>
      <c r="D7" s="69"/>
      <c r="E7" s="69"/>
      <c r="F7" s="69"/>
      <c r="G7" s="69"/>
    </row>
    <row r="8" spans="1:7" ht="7.95" customHeight="1" x14ac:dyDescent="0.35">
      <c r="A8" s="38"/>
      <c r="B8" s="41"/>
      <c r="C8" s="40"/>
      <c r="D8" s="40"/>
      <c r="E8" s="40"/>
      <c r="F8" s="40"/>
      <c r="G8" s="40"/>
    </row>
    <row r="9" spans="1:7" ht="18" x14ac:dyDescent="0.35">
      <c r="A9" s="48">
        <v>4</v>
      </c>
      <c r="B9" s="49" t="s">
        <v>167</v>
      </c>
      <c r="C9" s="50"/>
      <c r="D9" s="50"/>
      <c r="E9" s="50"/>
      <c r="F9" s="50"/>
      <c r="G9" s="51"/>
    </row>
    <row r="10" spans="1:7" ht="15.6" x14ac:dyDescent="0.3">
      <c r="A10" s="52"/>
      <c r="B10" s="52"/>
      <c r="C10" s="52"/>
      <c r="D10" s="52"/>
      <c r="E10" s="52"/>
      <c r="F10" s="52"/>
      <c r="G10" s="52"/>
    </row>
    <row r="11" spans="1:7" ht="7.95" customHeight="1" x14ac:dyDescent="0.3">
      <c r="A11" s="53"/>
      <c r="B11" s="53"/>
      <c r="C11" s="53"/>
      <c r="D11" s="53"/>
      <c r="E11" s="53"/>
      <c r="F11" s="53"/>
      <c r="G11" s="53"/>
    </row>
    <row r="12" spans="1:7" ht="18" x14ac:dyDescent="0.35">
      <c r="A12" s="54">
        <v>5</v>
      </c>
      <c r="B12" s="55" t="s">
        <v>121</v>
      </c>
      <c r="C12" s="56"/>
      <c r="D12" s="56"/>
      <c r="E12" s="56"/>
      <c r="F12" s="56"/>
      <c r="G12" s="57"/>
    </row>
    <row r="13" spans="1:7" ht="15.6" x14ac:dyDescent="0.3">
      <c r="A13" s="56"/>
      <c r="B13" s="56" t="s">
        <v>120</v>
      </c>
      <c r="C13" s="56">
        <v>5</v>
      </c>
      <c r="D13" s="56"/>
      <c r="E13" s="56" t="s">
        <v>142</v>
      </c>
      <c r="F13" s="56"/>
      <c r="G13" s="58"/>
    </row>
    <row r="14" spans="1:7" ht="15.6" x14ac:dyDescent="0.3">
      <c r="A14" s="56"/>
      <c r="B14" s="56" t="s">
        <v>120</v>
      </c>
      <c r="C14" s="56">
        <f t="shared" ref="C14:C19" si="0">C13+1</f>
        <v>6</v>
      </c>
      <c r="D14" s="56"/>
      <c r="E14" s="56" t="s">
        <v>147</v>
      </c>
      <c r="F14" s="56"/>
      <c r="G14" s="58"/>
    </row>
    <row r="15" spans="1:7" ht="15.6" x14ac:dyDescent="0.3">
      <c r="A15" s="59"/>
      <c r="B15" s="56" t="s">
        <v>120</v>
      </c>
      <c r="C15" s="56">
        <f t="shared" si="0"/>
        <v>7</v>
      </c>
      <c r="D15" s="56"/>
      <c r="E15" s="56" t="s">
        <v>151</v>
      </c>
      <c r="F15" s="56"/>
      <c r="G15" s="58"/>
    </row>
    <row r="16" spans="1:7" ht="15.6" x14ac:dyDescent="0.3">
      <c r="A16" s="59"/>
      <c r="B16" s="56" t="s">
        <v>120</v>
      </c>
      <c r="C16" s="56">
        <f t="shared" si="0"/>
        <v>8</v>
      </c>
      <c r="D16" s="56"/>
      <c r="E16" s="56" t="s">
        <v>150</v>
      </c>
      <c r="F16" s="56"/>
      <c r="G16" s="58"/>
    </row>
    <row r="17" spans="1:7" ht="15.6" x14ac:dyDescent="0.3">
      <c r="A17" s="59"/>
      <c r="B17" s="56" t="s">
        <v>120</v>
      </c>
      <c r="C17" s="56">
        <f t="shared" si="0"/>
        <v>9</v>
      </c>
      <c r="D17" s="56"/>
      <c r="E17" s="56" t="s">
        <v>30</v>
      </c>
      <c r="F17" s="56"/>
      <c r="G17" s="58"/>
    </row>
    <row r="18" spans="1:7" ht="15.6" x14ac:dyDescent="0.3">
      <c r="A18" s="59"/>
      <c r="B18" s="56" t="s">
        <v>120</v>
      </c>
      <c r="C18" s="56">
        <f t="shared" si="0"/>
        <v>10</v>
      </c>
      <c r="D18" s="56"/>
      <c r="E18" s="56" t="s">
        <v>1</v>
      </c>
      <c r="F18" s="56"/>
      <c r="G18" s="58"/>
    </row>
    <row r="19" spans="1:7" ht="15.6" x14ac:dyDescent="0.3">
      <c r="A19" s="59"/>
      <c r="B19" s="56" t="s">
        <v>120</v>
      </c>
      <c r="C19" s="56">
        <f t="shared" si="0"/>
        <v>11</v>
      </c>
      <c r="D19" s="56"/>
      <c r="E19" s="56" t="s">
        <v>152</v>
      </c>
      <c r="F19" s="56"/>
      <c r="G19" s="58"/>
    </row>
    <row r="20" spans="1:7" ht="15.6" x14ac:dyDescent="0.3">
      <c r="A20" s="59"/>
      <c r="B20" s="56"/>
      <c r="C20" s="56"/>
      <c r="D20" s="56"/>
      <c r="E20" s="56"/>
      <c r="F20" s="56"/>
      <c r="G20" s="56"/>
    </row>
    <row r="21" spans="1:7" ht="7.95" customHeight="1" x14ac:dyDescent="0.3">
      <c r="A21" s="40"/>
      <c r="B21" s="40"/>
      <c r="C21" s="40"/>
      <c r="D21" s="40"/>
      <c r="E21" s="40"/>
      <c r="F21" s="40"/>
      <c r="G21" s="40"/>
    </row>
    <row r="22" spans="1:7" ht="18" x14ac:dyDescent="0.35">
      <c r="A22" s="60">
        <v>6</v>
      </c>
      <c r="B22" s="61" t="s">
        <v>122</v>
      </c>
      <c r="C22" s="62"/>
      <c r="D22" s="62"/>
      <c r="E22" s="62"/>
      <c r="F22" s="62"/>
      <c r="G22" s="63"/>
    </row>
    <row r="23" spans="1:7" ht="15.6" x14ac:dyDescent="0.3">
      <c r="A23" s="64"/>
      <c r="B23" s="62" t="s">
        <v>120</v>
      </c>
      <c r="C23" s="62">
        <v>12</v>
      </c>
      <c r="D23" s="62"/>
      <c r="E23" s="62" t="s">
        <v>142</v>
      </c>
      <c r="F23" s="62"/>
      <c r="G23" s="65"/>
    </row>
    <row r="24" spans="1:7" ht="15.6" x14ac:dyDescent="0.3">
      <c r="A24" s="64"/>
      <c r="B24" s="62" t="s">
        <v>120</v>
      </c>
      <c r="C24" s="62">
        <f t="shared" ref="C24:C25" si="1">C23+1</f>
        <v>13</v>
      </c>
      <c r="D24" s="62"/>
      <c r="E24" s="62" t="s">
        <v>147</v>
      </c>
      <c r="F24" s="62"/>
      <c r="G24" s="65"/>
    </row>
    <row r="25" spans="1:7" ht="15.6" x14ac:dyDescent="0.3">
      <c r="A25" s="64"/>
      <c r="B25" s="62" t="s">
        <v>120</v>
      </c>
      <c r="C25" s="62">
        <f t="shared" si="1"/>
        <v>14</v>
      </c>
      <c r="D25" s="62"/>
      <c r="E25" s="62" t="s">
        <v>151</v>
      </c>
      <c r="F25" s="62"/>
      <c r="G25" s="65"/>
    </row>
    <row r="26" spans="1:7" ht="15.6" x14ac:dyDescent="0.3">
      <c r="A26" s="66"/>
      <c r="B26" s="62"/>
      <c r="C26" s="62"/>
      <c r="D26" s="62"/>
      <c r="E26" s="62"/>
      <c r="F26" s="62"/>
      <c r="G26" s="65"/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34:B84"/>
  <sheetViews>
    <sheetView workbookViewId="0"/>
  </sheetViews>
  <sheetFormatPr defaultColWidth="9.109375" defaultRowHeight="14.4" x14ac:dyDescent="0.3"/>
  <cols>
    <col min="1" max="1" width="40.6640625" customWidth="1"/>
    <col min="2" max="2" width="23" bestFit="1" customWidth="1"/>
  </cols>
  <sheetData>
    <row r="34" spans="1:2" x14ac:dyDescent="0.3">
      <c r="A34" s="8" t="s">
        <v>126</v>
      </c>
      <c r="B34" t="s">
        <v>30</v>
      </c>
    </row>
    <row r="35" spans="1:2" x14ac:dyDescent="0.3">
      <c r="A35" s="8" t="s">
        <v>127</v>
      </c>
      <c r="B35" t="s">
        <v>61</v>
      </c>
    </row>
    <row r="36" spans="1:2" x14ac:dyDescent="0.3">
      <c r="A36" s="8" t="s">
        <v>133</v>
      </c>
      <c r="B36" t="s">
        <v>154</v>
      </c>
    </row>
    <row r="38" spans="1:2" x14ac:dyDescent="0.3">
      <c r="A38" s="8" t="s">
        <v>170</v>
      </c>
      <c r="B38" t="s">
        <v>172</v>
      </c>
    </row>
    <row r="39" spans="1:2" x14ac:dyDescent="0.3">
      <c r="A39" s="9" t="s">
        <v>89</v>
      </c>
      <c r="B39" s="11"/>
    </row>
    <row r="40" spans="1:2" x14ac:dyDescent="0.3">
      <c r="A40" s="10">
        <v>49</v>
      </c>
      <c r="B40" s="11"/>
    </row>
    <row r="41" spans="1:2" x14ac:dyDescent="0.3">
      <c r="A41" s="70" t="s">
        <v>42</v>
      </c>
      <c r="B41" s="11">
        <v>1.0715000000000001</v>
      </c>
    </row>
    <row r="42" spans="1:2" x14ac:dyDescent="0.3">
      <c r="A42" s="10">
        <v>50</v>
      </c>
      <c r="B42" s="11"/>
    </row>
    <row r="43" spans="1:2" x14ac:dyDescent="0.3">
      <c r="A43" s="70" t="s">
        <v>42</v>
      </c>
      <c r="B43" s="11">
        <v>0.6696875000000001</v>
      </c>
    </row>
    <row r="44" spans="1:2" x14ac:dyDescent="0.3">
      <c r="A44" s="10">
        <v>51</v>
      </c>
      <c r="B44" s="11"/>
    </row>
    <row r="45" spans="1:2" x14ac:dyDescent="0.3">
      <c r="A45" s="70" t="s">
        <v>42</v>
      </c>
      <c r="B45" s="11">
        <v>0.58932499999999999</v>
      </c>
    </row>
    <row r="46" spans="1:2" x14ac:dyDescent="0.3">
      <c r="A46" s="10">
        <v>52</v>
      </c>
      <c r="B46" s="11"/>
    </row>
    <row r="47" spans="1:2" x14ac:dyDescent="0.3">
      <c r="A47" s="70" t="s">
        <v>42</v>
      </c>
      <c r="B47" s="11">
        <v>1.8751250000000004</v>
      </c>
    </row>
    <row r="48" spans="1:2" x14ac:dyDescent="0.3">
      <c r="A48" s="10">
        <v>53</v>
      </c>
      <c r="B48" s="11"/>
    </row>
    <row r="49" spans="1:2" x14ac:dyDescent="0.3">
      <c r="A49" s="70" t="s">
        <v>42</v>
      </c>
      <c r="B49" s="11">
        <v>1.5536750000000001</v>
      </c>
    </row>
    <row r="50" spans="1:2" x14ac:dyDescent="0.3">
      <c r="A50" s="10">
        <v>54</v>
      </c>
      <c r="B50" s="11"/>
    </row>
    <row r="51" spans="1:2" x14ac:dyDescent="0.3">
      <c r="A51" s="70" t="s">
        <v>42</v>
      </c>
      <c r="B51" s="11">
        <v>1.6876125000000002</v>
      </c>
    </row>
    <row r="52" spans="1:2" x14ac:dyDescent="0.3">
      <c r="A52" s="10">
        <v>55</v>
      </c>
      <c r="B52" s="11"/>
    </row>
    <row r="53" spans="1:2" x14ac:dyDescent="0.3">
      <c r="A53" s="70" t="s">
        <v>42</v>
      </c>
      <c r="B53" s="11">
        <v>1.4733125</v>
      </c>
    </row>
    <row r="54" spans="1:2" x14ac:dyDescent="0.3">
      <c r="A54" s="10">
        <v>56</v>
      </c>
      <c r="B54" s="11"/>
    </row>
    <row r="55" spans="1:2" x14ac:dyDescent="0.3">
      <c r="A55" s="70" t="s">
        <v>42</v>
      </c>
      <c r="B55" s="11">
        <v>2.2769375000000003</v>
      </c>
    </row>
    <row r="56" spans="1:2" x14ac:dyDescent="0.3">
      <c r="A56" s="10">
        <v>57</v>
      </c>
      <c r="B56" s="11"/>
    </row>
    <row r="57" spans="1:2" x14ac:dyDescent="0.3">
      <c r="A57" s="70" t="s">
        <v>42</v>
      </c>
      <c r="B57" s="11">
        <v>2.0090625000000002</v>
      </c>
    </row>
    <row r="58" spans="1:2" x14ac:dyDescent="0.3">
      <c r="A58" s="10">
        <v>58</v>
      </c>
      <c r="B58" s="11"/>
    </row>
    <row r="59" spans="1:2" x14ac:dyDescent="0.3">
      <c r="A59" s="70" t="s">
        <v>42</v>
      </c>
      <c r="B59" s="11">
        <v>1.4197375000000001</v>
      </c>
    </row>
    <row r="60" spans="1:2" x14ac:dyDescent="0.3">
      <c r="A60" s="10">
        <v>59</v>
      </c>
      <c r="B60" s="11"/>
    </row>
    <row r="61" spans="1:2" x14ac:dyDescent="0.3">
      <c r="A61" s="70" t="s">
        <v>42</v>
      </c>
      <c r="B61" s="11">
        <v>1.4197375000000001</v>
      </c>
    </row>
    <row r="62" spans="1:2" x14ac:dyDescent="0.3">
      <c r="A62" s="10">
        <v>60</v>
      </c>
      <c r="B62" s="11"/>
    </row>
    <row r="63" spans="1:2" x14ac:dyDescent="0.3">
      <c r="A63" s="70" t="s">
        <v>42</v>
      </c>
      <c r="B63" s="11">
        <v>1.4197375000000001</v>
      </c>
    </row>
    <row r="64" spans="1:2" x14ac:dyDescent="0.3">
      <c r="A64" s="10">
        <v>61</v>
      </c>
      <c r="B64" s="11"/>
    </row>
    <row r="65" spans="1:2" x14ac:dyDescent="0.3">
      <c r="A65" s="70" t="s">
        <v>42</v>
      </c>
      <c r="B65" s="11">
        <v>2.0090625000000002</v>
      </c>
    </row>
    <row r="66" spans="1:2" x14ac:dyDescent="0.3">
      <c r="A66" s="10">
        <v>62</v>
      </c>
      <c r="B66" s="11"/>
    </row>
    <row r="67" spans="1:2" x14ac:dyDescent="0.3">
      <c r="A67" s="70" t="s">
        <v>42</v>
      </c>
      <c r="B67" s="11">
        <v>2.1430000000000002</v>
      </c>
    </row>
    <row r="68" spans="1:2" x14ac:dyDescent="0.3">
      <c r="A68" s="10">
        <v>63</v>
      </c>
      <c r="B68" s="11"/>
    </row>
    <row r="69" spans="1:2" x14ac:dyDescent="0.3">
      <c r="A69" s="70" t="s">
        <v>42</v>
      </c>
      <c r="B69" s="11">
        <v>1.8483375000000002</v>
      </c>
    </row>
    <row r="70" spans="1:2" x14ac:dyDescent="0.3">
      <c r="A70" s="10">
        <v>192</v>
      </c>
      <c r="B70" s="11"/>
    </row>
    <row r="71" spans="1:2" x14ac:dyDescent="0.3">
      <c r="A71" s="70" t="s">
        <v>9</v>
      </c>
      <c r="B71" s="2">
        <v>1.05297</v>
      </c>
    </row>
    <row r="72" spans="1:2" x14ac:dyDescent="0.3">
      <c r="A72" s="10">
        <v>196</v>
      </c>
      <c r="B72" s="11"/>
    </row>
    <row r="73" spans="1:2" x14ac:dyDescent="0.3">
      <c r="A73" s="70" t="s">
        <v>10</v>
      </c>
      <c r="B73" s="2">
        <v>0.96732638888888889</v>
      </c>
    </row>
    <row r="74" spans="1:2" x14ac:dyDescent="0.3">
      <c r="A74" s="10">
        <v>247</v>
      </c>
      <c r="B74" s="11"/>
    </row>
    <row r="75" spans="1:2" x14ac:dyDescent="0.3">
      <c r="A75" s="70" t="s">
        <v>81</v>
      </c>
      <c r="B75" s="11">
        <v>0.6530737436805556</v>
      </c>
    </row>
    <row r="76" spans="1:2" x14ac:dyDescent="0.3">
      <c r="A76" s="9" t="s">
        <v>139</v>
      </c>
      <c r="B76" s="11"/>
    </row>
    <row r="77" spans="1:2" x14ac:dyDescent="0.3">
      <c r="A77" s="10">
        <v>64</v>
      </c>
      <c r="B77" s="11"/>
    </row>
    <row r="78" spans="1:2" x14ac:dyDescent="0.3">
      <c r="A78" s="70" t="s">
        <v>42</v>
      </c>
      <c r="B78" s="11">
        <v>0.72326250000000003</v>
      </c>
    </row>
    <row r="79" spans="1:2" x14ac:dyDescent="0.3">
      <c r="A79" s="10">
        <v>65</v>
      </c>
      <c r="B79" s="11"/>
    </row>
    <row r="80" spans="1:2" x14ac:dyDescent="0.3">
      <c r="A80" s="70" t="s">
        <v>42</v>
      </c>
      <c r="B80" s="11">
        <v>0.58932499999999999</v>
      </c>
    </row>
    <row r="81" spans="1:2" x14ac:dyDescent="0.3">
      <c r="A81" s="10">
        <v>66</v>
      </c>
      <c r="B81" s="11"/>
    </row>
    <row r="82" spans="1:2" x14ac:dyDescent="0.3">
      <c r="A82" s="70" t="s">
        <v>42</v>
      </c>
      <c r="B82" s="11">
        <v>0.50896249999999998</v>
      </c>
    </row>
    <row r="83" spans="1:2" x14ac:dyDescent="0.3">
      <c r="A83" s="10">
        <v>67</v>
      </c>
      <c r="B83" s="11"/>
    </row>
    <row r="84" spans="1:2" x14ac:dyDescent="0.3">
      <c r="A84" s="70" t="s">
        <v>42</v>
      </c>
      <c r="B84" s="11">
        <v>0.24108749999999998</v>
      </c>
    </row>
  </sheetData>
  <pageMargins left="0.7" right="0.7" top="0.75" bottom="0.75" header="0.3" footer="0.3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34:B84"/>
  <sheetViews>
    <sheetView workbookViewId="0"/>
  </sheetViews>
  <sheetFormatPr defaultColWidth="9.109375" defaultRowHeight="14.4" x14ac:dyDescent="0.3"/>
  <cols>
    <col min="1" max="1" width="40.6640625" customWidth="1"/>
    <col min="2" max="2" width="23" bestFit="1" customWidth="1"/>
  </cols>
  <sheetData>
    <row r="34" spans="1:2" x14ac:dyDescent="0.3">
      <c r="A34" s="8" t="s">
        <v>126</v>
      </c>
      <c r="B34" t="s">
        <v>1</v>
      </c>
    </row>
    <row r="35" spans="1:2" x14ac:dyDescent="0.3">
      <c r="A35" s="8" t="s">
        <v>127</v>
      </c>
      <c r="B35" t="s">
        <v>61</v>
      </c>
    </row>
    <row r="36" spans="1:2" x14ac:dyDescent="0.3">
      <c r="A36" s="8" t="s">
        <v>133</v>
      </c>
      <c r="B36" t="s">
        <v>154</v>
      </c>
    </row>
    <row r="38" spans="1:2" x14ac:dyDescent="0.3">
      <c r="A38" s="8" t="s">
        <v>170</v>
      </c>
      <c r="B38" t="s">
        <v>172</v>
      </c>
    </row>
    <row r="39" spans="1:2" x14ac:dyDescent="0.3">
      <c r="A39" s="9" t="s">
        <v>89</v>
      </c>
      <c r="B39" s="11"/>
    </row>
    <row r="40" spans="1:2" x14ac:dyDescent="0.3">
      <c r="A40" s="10">
        <v>68</v>
      </c>
      <c r="B40" s="11"/>
    </row>
    <row r="41" spans="1:2" x14ac:dyDescent="0.3">
      <c r="A41" s="70" t="s">
        <v>43</v>
      </c>
      <c r="B41" s="11">
        <v>2.2345199999999998</v>
      </c>
    </row>
    <row r="42" spans="1:2" x14ac:dyDescent="0.3">
      <c r="A42" s="10">
        <v>69</v>
      </c>
      <c r="B42" s="11"/>
    </row>
    <row r="43" spans="1:2" x14ac:dyDescent="0.3">
      <c r="A43" s="70" t="s">
        <v>43</v>
      </c>
      <c r="B43" s="11">
        <v>2.2345199999999998</v>
      </c>
    </row>
    <row r="44" spans="1:2" x14ac:dyDescent="0.3">
      <c r="A44" s="10">
        <v>70</v>
      </c>
      <c r="B44" s="11"/>
    </row>
    <row r="45" spans="1:2" x14ac:dyDescent="0.3">
      <c r="A45" s="70" t="s">
        <v>43</v>
      </c>
      <c r="B45" s="11">
        <v>2.2345199999999998</v>
      </c>
    </row>
    <row r="46" spans="1:2" x14ac:dyDescent="0.3">
      <c r="A46" s="10">
        <v>71</v>
      </c>
      <c r="B46" s="11"/>
    </row>
    <row r="47" spans="1:2" x14ac:dyDescent="0.3">
      <c r="A47" s="70" t="s">
        <v>43</v>
      </c>
      <c r="B47" s="11">
        <v>2.2345199999999998</v>
      </c>
    </row>
    <row r="48" spans="1:2" x14ac:dyDescent="0.3">
      <c r="A48" s="10">
        <v>72</v>
      </c>
      <c r="B48" s="11"/>
    </row>
    <row r="49" spans="1:2" x14ac:dyDescent="0.3">
      <c r="A49" s="70" t="s">
        <v>43</v>
      </c>
      <c r="B49" s="11">
        <v>2.2345199999999998</v>
      </c>
    </row>
    <row r="50" spans="1:2" x14ac:dyDescent="0.3">
      <c r="A50" s="10">
        <v>73</v>
      </c>
      <c r="B50" s="11"/>
    </row>
    <row r="51" spans="1:2" x14ac:dyDescent="0.3">
      <c r="A51" s="70" t="s">
        <v>43</v>
      </c>
      <c r="B51" s="11">
        <v>2.0483099999999999</v>
      </c>
    </row>
    <row r="52" spans="1:2" x14ac:dyDescent="0.3">
      <c r="A52" s="10">
        <v>74</v>
      </c>
      <c r="B52" s="11"/>
    </row>
    <row r="53" spans="1:2" x14ac:dyDescent="0.3">
      <c r="A53" s="70" t="s">
        <v>43</v>
      </c>
      <c r="B53" s="11">
        <v>1.6758899999999999</v>
      </c>
    </row>
    <row r="54" spans="1:2" x14ac:dyDescent="0.3">
      <c r="A54" s="10">
        <v>75</v>
      </c>
      <c r="B54" s="11"/>
    </row>
    <row r="55" spans="1:2" x14ac:dyDescent="0.3">
      <c r="A55" s="70" t="s">
        <v>43</v>
      </c>
      <c r="B55" s="11">
        <v>2.6069400000000003</v>
      </c>
    </row>
    <row r="56" spans="1:2" x14ac:dyDescent="0.3">
      <c r="A56" s="10">
        <v>76</v>
      </c>
      <c r="B56" s="11"/>
    </row>
    <row r="57" spans="1:2" x14ac:dyDescent="0.3">
      <c r="A57" s="70" t="s">
        <v>43</v>
      </c>
      <c r="B57" s="11">
        <v>3.0538439999999998</v>
      </c>
    </row>
    <row r="58" spans="1:2" x14ac:dyDescent="0.3">
      <c r="A58" s="10">
        <v>77</v>
      </c>
      <c r="B58" s="11"/>
    </row>
    <row r="59" spans="1:2" x14ac:dyDescent="0.3">
      <c r="A59" s="70" t="s">
        <v>43</v>
      </c>
      <c r="B59" s="11">
        <v>2.7931499999999998</v>
      </c>
    </row>
    <row r="60" spans="1:2" x14ac:dyDescent="0.3">
      <c r="A60" s="10">
        <v>78</v>
      </c>
      <c r="B60" s="11"/>
    </row>
    <row r="61" spans="1:2" x14ac:dyDescent="0.3">
      <c r="A61" s="70" t="s">
        <v>43</v>
      </c>
      <c r="B61" s="11">
        <v>1.8620999999999999</v>
      </c>
    </row>
    <row r="62" spans="1:2" x14ac:dyDescent="0.3">
      <c r="A62" s="10">
        <v>79</v>
      </c>
      <c r="B62" s="11"/>
    </row>
    <row r="63" spans="1:2" x14ac:dyDescent="0.3">
      <c r="A63" s="70" t="s">
        <v>43</v>
      </c>
      <c r="B63" s="11">
        <v>1.4896799999999999</v>
      </c>
    </row>
    <row r="64" spans="1:2" x14ac:dyDescent="0.3">
      <c r="A64" s="10">
        <v>80</v>
      </c>
      <c r="B64" s="11"/>
    </row>
    <row r="65" spans="1:2" x14ac:dyDescent="0.3">
      <c r="A65" s="70" t="s">
        <v>43</v>
      </c>
      <c r="B65" s="11">
        <v>2.3090039999999998</v>
      </c>
    </row>
    <row r="66" spans="1:2" x14ac:dyDescent="0.3">
      <c r="A66" s="10">
        <v>193</v>
      </c>
      <c r="B66" s="11"/>
    </row>
    <row r="67" spans="1:2" x14ac:dyDescent="0.3">
      <c r="A67" s="70" t="s">
        <v>9</v>
      </c>
      <c r="B67" s="2">
        <v>1.58406</v>
      </c>
    </row>
    <row r="68" spans="1:2" x14ac:dyDescent="0.3">
      <c r="A68" s="10">
        <v>197</v>
      </c>
      <c r="B68" s="11"/>
    </row>
    <row r="69" spans="1:2" x14ac:dyDescent="0.3">
      <c r="A69" s="70" t="s">
        <v>10</v>
      </c>
      <c r="B69" s="2">
        <v>1.5517499999999997</v>
      </c>
    </row>
    <row r="70" spans="1:2" x14ac:dyDescent="0.3">
      <c r="A70" s="10">
        <v>241</v>
      </c>
      <c r="B70" s="11"/>
    </row>
    <row r="71" spans="1:2" x14ac:dyDescent="0.3">
      <c r="A71" s="70" t="s">
        <v>77</v>
      </c>
      <c r="B71" s="11">
        <v>2.1600359999999998</v>
      </c>
    </row>
    <row r="72" spans="1:2" x14ac:dyDescent="0.3">
      <c r="A72" s="10">
        <v>242</v>
      </c>
      <c r="B72" s="11"/>
    </row>
    <row r="73" spans="1:2" x14ac:dyDescent="0.3">
      <c r="A73" s="70" t="s">
        <v>78</v>
      </c>
      <c r="B73" s="11">
        <v>1.9365839999999999</v>
      </c>
    </row>
    <row r="74" spans="1:2" x14ac:dyDescent="0.3">
      <c r="A74" s="10">
        <v>243</v>
      </c>
      <c r="B74" s="11"/>
    </row>
    <row r="75" spans="1:2" x14ac:dyDescent="0.3">
      <c r="A75" s="70" t="s">
        <v>78</v>
      </c>
      <c r="B75" s="11">
        <v>1.4896799999999999</v>
      </c>
    </row>
    <row r="76" spans="1:2" x14ac:dyDescent="0.3">
      <c r="A76" s="10">
        <v>244</v>
      </c>
      <c r="B76" s="11"/>
    </row>
    <row r="77" spans="1:2" x14ac:dyDescent="0.3">
      <c r="A77" s="70" t="s">
        <v>78</v>
      </c>
      <c r="B77" s="11">
        <v>0.74483999999999995</v>
      </c>
    </row>
    <row r="78" spans="1:2" x14ac:dyDescent="0.3">
      <c r="A78" s="10">
        <v>246</v>
      </c>
      <c r="B78" s="11"/>
    </row>
    <row r="79" spans="1:2" x14ac:dyDescent="0.3">
      <c r="A79" s="70" t="s">
        <v>80</v>
      </c>
      <c r="B79" s="11">
        <v>1.1882267</v>
      </c>
    </row>
    <row r="80" spans="1:2" x14ac:dyDescent="0.3">
      <c r="A80" s="9" t="s">
        <v>139</v>
      </c>
      <c r="B80" s="11"/>
    </row>
    <row r="81" spans="1:2" x14ac:dyDescent="0.3">
      <c r="A81" s="10">
        <v>81</v>
      </c>
      <c r="B81" s="11"/>
    </row>
    <row r="82" spans="1:2" x14ac:dyDescent="0.3">
      <c r="A82" s="70" t="s">
        <v>43</v>
      </c>
      <c r="B82" s="11">
        <v>0.55862999999999996</v>
      </c>
    </row>
    <row r="83" spans="1:2" x14ac:dyDescent="0.3">
      <c r="A83" s="10">
        <v>82</v>
      </c>
      <c r="B83" s="11"/>
    </row>
    <row r="84" spans="1:2" x14ac:dyDescent="0.3">
      <c r="A84" s="70" t="s">
        <v>43</v>
      </c>
      <c r="B84" s="11">
        <v>0.93104999999999993</v>
      </c>
    </row>
  </sheetData>
  <pageMargins left="0.7" right="0.7" top="0.75" bottom="0.75" header="0.3" footer="0.3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34:B161"/>
  <sheetViews>
    <sheetView workbookViewId="0"/>
  </sheetViews>
  <sheetFormatPr defaultColWidth="9.109375" defaultRowHeight="14.4" x14ac:dyDescent="0.3"/>
  <cols>
    <col min="1" max="1" width="40.6640625" customWidth="1"/>
    <col min="2" max="2" width="24.88671875" bestFit="1" customWidth="1"/>
    <col min="3" max="3" width="33.44140625" bestFit="1" customWidth="1"/>
    <col min="4" max="4" width="23" bestFit="1" customWidth="1"/>
    <col min="5" max="5" width="33.44140625" bestFit="1" customWidth="1"/>
    <col min="6" max="6" width="23" bestFit="1" customWidth="1"/>
    <col min="7" max="7" width="33.44140625" bestFit="1" customWidth="1"/>
    <col min="8" max="8" width="27.6640625" bestFit="1" customWidth="1"/>
    <col min="9" max="9" width="38.33203125" bestFit="1" customWidth="1"/>
  </cols>
  <sheetData>
    <row r="34" spans="1:2" x14ac:dyDescent="0.3">
      <c r="A34" s="8" t="s">
        <v>126</v>
      </c>
      <c r="B34" t="s">
        <v>152</v>
      </c>
    </row>
    <row r="35" spans="1:2" x14ac:dyDescent="0.3">
      <c r="A35" s="8" t="s">
        <v>127</v>
      </c>
      <c r="B35" t="s">
        <v>61</v>
      </c>
    </row>
    <row r="36" spans="1:2" x14ac:dyDescent="0.3">
      <c r="A36" s="8" t="s">
        <v>133</v>
      </c>
      <c r="B36" t="s">
        <v>154</v>
      </c>
    </row>
    <row r="38" spans="1:2" x14ac:dyDescent="0.3">
      <c r="A38" s="8" t="s">
        <v>170</v>
      </c>
      <c r="B38" t="s">
        <v>172</v>
      </c>
    </row>
    <row r="39" spans="1:2" x14ac:dyDescent="0.3">
      <c r="A39" s="9" t="s">
        <v>139</v>
      </c>
      <c r="B39" s="11"/>
    </row>
    <row r="40" spans="1:2" x14ac:dyDescent="0.3">
      <c r="A40" s="10">
        <v>7</v>
      </c>
      <c r="B40" s="11"/>
    </row>
    <row r="41" spans="1:2" x14ac:dyDescent="0.3">
      <c r="A41" s="70" t="s">
        <v>57</v>
      </c>
      <c r="B41" s="11">
        <v>2.4060000000000001</v>
      </c>
    </row>
    <row r="42" spans="1:2" x14ac:dyDescent="0.3">
      <c r="A42" s="10">
        <v>8</v>
      </c>
      <c r="B42" s="11"/>
    </row>
    <row r="43" spans="1:2" x14ac:dyDescent="0.3">
      <c r="A43" s="70" t="s">
        <v>57</v>
      </c>
      <c r="B43" s="11">
        <v>3.609</v>
      </c>
    </row>
    <row r="44" spans="1:2" x14ac:dyDescent="0.3">
      <c r="A44" s="10">
        <v>10</v>
      </c>
      <c r="B44" s="11"/>
    </row>
    <row r="45" spans="1:2" x14ac:dyDescent="0.3">
      <c r="A45" s="70" t="s">
        <v>58</v>
      </c>
      <c r="B45" s="11">
        <v>2.4060000000000001</v>
      </c>
    </row>
    <row r="46" spans="1:2" x14ac:dyDescent="0.3">
      <c r="A46" s="10">
        <v>11</v>
      </c>
      <c r="B46" s="11"/>
    </row>
    <row r="47" spans="1:2" x14ac:dyDescent="0.3">
      <c r="A47" s="70" t="s">
        <v>58</v>
      </c>
      <c r="B47" s="11">
        <v>3.609</v>
      </c>
    </row>
    <row r="48" spans="1:2" x14ac:dyDescent="0.3">
      <c r="A48" s="10">
        <v>118</v>
      </c>
      <c r="B48" s="11"/>
    </row>
    <row r="49" spans="1:2" x14ac:dyDescent="0.3">
      <c r="A49" s="70" t="s">
        <v>48</v>
      </c>
      <c r="B49" s="11">
        <v>2.1654</v>
      </c>
    </row>
    <row r="50" spans="1:2" x14ac:dyDescent="0.3">
      <c r="A50" s="10">
        <v>119</v>
      </c>
      <c r="B50" s="11"/>
    </row>
    <row r="51" spans="1:2" x14ac:dyDescent="0.3">
      <c r="A51" s="70" t="s">
        <v>48</v>
      </c>
      <c r="B51" s="11">
        <v>2.1654</v>
      </c>
    </row>
    <row r="52" spans="1:2" x14ac:dyDescent="0.3">
      <c r="A52" s="10">
        <v>120</v>
      </c>
      <c r="B52" s="11"/>
    </row>
    <row r="53" spans="1:2" x14ac:dyDescent="0.3">
      <c r="A53" s="70" t="s">
        <v>48</v>
      </c>
      <c r="B53" s="11">
        <v>1.8045</v>
      </c>
    </row>
    <row r="54" spans="1:2" x14ac:dyDescent="0.3">
      <c r="A54" s="10">
        <v>121</v>
      </c>
      <c r="B54" s="11"/>
    </row>
    <row r="55" spans="1:2" x14ac:dyDescent="0.3">
      <c r="A55" s="70" t="s">
        <v>48</v>
      </c>
      <c r="B55" s="11">
        <v>1.9248000000000001</v>
      </c>
    </row>
    <row r="56" spans="1:2" x14ac:dyDescent="0.3">
      <c r="A56" s="10">
        <v>122</v>
      </c>
      <c r="B56" s="11"/>
    </row>
    <row r="57" spans="1:2" x14ac:dyDescent="0.3">
      <c r="A57" s="70" t="s">
        <v>48</v>
      </c>
      <c r="B57" s="11">
        <v>1.8045</v>
      </c>
    </row>
    <row r="58" spans="1:2" x14ac:dyDescent="0.3">
      <c r="A58" s="10">
        <v>127</v>
      </c>
      <c r="B58" s="11"/>
    </row>
    <row r="59" spans="1:2" x14ac:dyDescent="0.3">
      <c r="A59" s="70" t="s">
        <v>50</v>
      </c>
      <c r="B59" s="11">
        <v>3.0075000000000003</v>
      </c>
    </row>
    <row r="60" spans="1:2" x14ac:dyDescent="0.3">
      <c r="A60" s="10">
        <v>128</v>
      </c>
      <c r="B60" s="11"/>
    </row>
    <row r="61" spans="1:2" x14ac:dyDescent="0.3">
      <c r="A61" s="70" t="s">
        <v>50</v>
      </c>
      <c r="B61" s="11">
        <v>2.4060000000000001</v>
      </c>
    </row>
    <row r="62" spans="1:2" x14ac:dyDescent="0.3">
      <c r="A62" s="10">
        <v>131</v>
      </c>
      <c r="B62" s="11"/>
    </row>
    <row r="63" spans="1:2" x14ac:dyDescent="0.3">
      <c r="A63" s="70" t="s">
        <v>50</v>
      </c>
      <c r="B63" s="11">
        <v>1.4436</v>
      </c>
    </row>
    <row r="64" spans="1:2" x14ac:dyDescent="0.3">
      <c r="A64" s="10">
        <v>138</v>
      </c>
      <c r="B64" s="11"/>
    </row>
    <row r="65" spans="1:2" x14ac:dyDescent="0.3">
      <c r="A65" s="70" t="s">
        <v>52</v>
      </c>
      <c r="B65" s="11">
        <v>1.2544000000000002</v>
      </c>
    </row>
    <row r="66" spans="1:2" x14ac:dyDescent="0.3">
      <c r="A66" s="10">
        <v>191</v>
      </c>
      <c r="B66" s="11"/>
    </row>
    <row r="67" spans="1:2" x14ac:dyDescent="0.3">
      <c r="A67" s="70" t="s">
        <v>54</v>
      </c>
      <c r="B67" s="11">
        <v>3</v>
      </c>
    </row>
    <row r="68" spans="1:2" x14ac:dyDescent="0.3">
      <c r="A68" s="10">
        <v>204</v>
      </c>
      <c r="B68" s="11"/>
    </row>
    <row r="69" spans="1:2" x14ac:dyDescent="0.3">
      <c r="A69" s="70" t="s">
        <v>66</v>
      </c>
      <c r="B69" s="11">
        <v>4.3308</v>
      </c>
    </row>
    <row r="70" spans="1:2" x14ac:dyDescent="0.3">
      <c r="A70" s="10">
        <v>214</v>
      </c>
      <c r="B70" s="11"/>
    </row>
    <row r="71" spans="1:2" x14ac:dyDescent="0.3">
      <c r="A71" s="70" t="s">
        <v>68</v>
      </c>
      <c r="B71" s="11">
        <v>11.138888888888888</v>
      </c>
    </row>
    <row r="72" spans="1:2" x14ac:dyDescent="0.3">
      <c r="A72" s="10">
        <v>215</v>
      </c>
      <c r="B72" s="11"/>
    </row>
    <row r="73" spans="1:2" x14ac:dyDescent="0.3">
      <c r="A73" s="70" t="s">
        <v>68</v>
      </c>
      <c r="B73" s="11">
        <v>1.6708333333333332</v>
      </c>
    </row>
    <row r="74" spans="1:2" x14ac:dyDescent="0.3">
      <c r="A74" s="10">
        <v>216</v>
      </c>
      <c r="B74" s="11"/>
    </row>
    <row r="75" spans="1:2" x14ac:dyDescent="0.3">
      <c r="A75" s="70" t="s">
        <v>68</v>
      </c>
      <c r="B75" s="11">
        <v>2.2277777777777779</v>
      </c>
    </row>
    <row r="76" spans="1:2" x14ac:dyDescent="0.3">
      <c r="A76" s="10">
        <v>217</v>
      </c>
      <c r="B76" s="11"/>
    </row>
    <row r="77" spans="1:2" x14ac:dyDescent="0.3">
      <c r="A77" s="70" t="s">
        <v>70</v>
      </c>
      <c r="B77" s="11">
        <v>5.1728999999999994</v>
      </c>
    </row>
    <row r="78" spans="1:2" x14ac:dyDescent="0.3">
      <c r="A78" s="10">
        <v>218</v>
      </c>
      <c r="B78" s="11"/>
    </row>
    <row r="79" spans="1:2" x14ac:dyDescent="0.3">
      <c r="A79" s="70" t="s">
        <v>70</v>
      </c>
      <c r="B79" s="11">
        <v>3.7292999999999998</v>
      </c>
    </row>
    <row r="80" spans="1:2" x14ac:dyDescent="0.3">
      <c r="A80" s="10">
        <v>255</v>
      </c>
      <c r="B80" s="11"/>
    </row>
    <row r="81" spans="1:2" x14ac:dyDescent="0.3">
      <c r="A81" s="70" t="s">
        <v>88</v>
      </c>
      <c r="B81" s="11">
        <v>5.5337999999999994</v>
      </c>
    </row>
    <row r="82" spans="1:2" x14ac:dyDescent="0.3">
      <c r="A82" s="10">
        <v>256</v>
      </c>
      <c r="B82" s="11"/>
    </row>
    <row r="83" spans="1:2" x14ac:dyDescent="0.3">
      <c r="A83" s="70" t="s">
        <v>88</v>
      </c>
      <c r="B83" s="11">
        <v>2.4060000000000001</v>
      </c>
    </row>
    <row r="84" spans="1:2" x14ac:dyDescent="0.3">
      <c r="A84" s="10">
        <v>257</v>
      </c>
      <c r="B84" s="11"/>
    </row>
    <row r="85" spans="1:2" x14ac:dyDescent="0.3">
      <c r="A85" s="70" t="s">
        <v>88</v>
      </c>
      <c r="B85" s="11">
        <v>1.0827</v>
      </c>
    </row>
    <row r="86" spans="1:2" x14ac:dyDescent="0.3">
      <c r="A86" s="10">
        <v>258</v>
      </c>
      <c r="B86" s="11"/>
    </row>
    <row r="87" spans="1:2" x14ac:dyDescent="0.3">
      <c r="A87" s="70" t="s">
        <v>88</v>
      </c>
      <c r="B87" s="11">
        <v>2.0451000000000001</v>
      </c>
    </row>
    <row r="88" spans="1:2" x14ac:dyDescent="0.3">
      <c r="A88" s="10">
        <v>259</v>
      </c>
      <c r="B88" s="11"/>
    </row>
    <row r="89" spans="1:2" x14ac:dyDescent="0.3">
      <c r="A89" s="70" t="s">
        <v>88</v>
      </c>
      <c r="B89" s="11">
        <v>2.8872</v>
      </c>
    </row>
    <row r="90" spans="1:2" x14ac:dyDescent="0.3">
      <c r="A90" s="9" t="s">
        <v>89</v>
      </c>
      <c r="B90" s="11"/>
    </row>
    <row r="91" spans="1:2" x14ac:dyDescent="0.3">
      <c r="A91" s="10">
        <v>6</v>
      </c>
      <c r="B91" s="11"/>
    </row>
    <row r="92" spans="1:2" x14ac:dyDescent="0.3">
      <c r="A92" s="70" t="s">
        <v>57</v>
      </c>
      <c r="B92" s="11">
        <v>10.2255</v>
      </c>
    </row>
    <row r="93" spans="1:2" x14ac:dyDescent="0.3">
      <c r="A93" s="10">
        <v>9</v>
      </c>
      <c r="B93" s="11"/>
    </row>
    <row r="94" spans="1:2" x14ac:dyDescent="0.3">
      <c r="A94" s="70" t="s">
        <v>58</v>
      </c>
      <c r="B94" s="11">
        <v>10.2255</v>
      </c>
    </row>
    <row r="95" spans="1:2" x14ac:dyDescent="0.3">
      <c r="A95" s="10">
        <v>17</v>
      </c>
      <c r="B95" s="11"/>
    </row>
    <row r="96" spans="1:2" x14ac:dyDescent="0.3">
      <c r="A96" s="70" t="s">
        <v>60</v>
      </c>
      <c r="B96" s="11">
        <v>15.8796</v>
      </c>
    </row>
    <row r="97" spans="1:2" x14ac:dyDescent="0.3">
      <c r="A97" s="10">
        <v>100</v>
      </c>
      <c r="B97" s="11"/>
    </row>
    <row r="98" spans="1:2" x14ac:dyDescent="0.3">
      <c r="A98" s="70" t="s">
        <v>47</v>
      </c>
      <c r="B98" s="11">
        <v>15.2781</v>
      </c>
    </row>
    <row r="99" spans="1:2" x14ac:dyDescent="0.3">
      <c r="A99" s="10">
        <v>101</v>
      </c>
      <c r="B99" s="11"/>
    </row>
    <row r="100" spans="1:2" x14ac:dyDescent="0.3">
      <c r="A100" s="70" t="s">
        <v>47</v>
      </c>
      <c r="B100" s="11">
        <v>14.195399999999999</v>
      </c>
    </row>
    <row r="101" spans="1:2" x14ac:dyDescent="0.3">
      <c r="A101" s="10">
        <v>102</v>
      </c>
      <c r="B101" s="11"/>
    </row>
    <row r="102" spans="1:2" x14ac:dyDescent="0.3">
      <c r="A102" s="70" t="s">
        <v>47</v>
      </c>
      <c r="B102" s="11">
        <v>12.511199999999999</v>
      </c>
    </row>
    <row r="103" spans="1:2" x14ac:dyDescent="0.3">
      <c r="A103" s="10">
        <v>103</v>
      </c>
      <c r="B103" s="11"/>
    </row>
    <row r="104" spans="1:2" x14ac:dyDescent="0.3">
      <c r="A104" s="70" t="s">
        <v>47</v>
      </c>
      <c r="B104" s="11">
        <v>13.1127</v>
      </c>
    </row>
    <row r="105" spans="1:2" x14ac:dyDescent="0.3">
      <c r="A105" s="10">
        <v>104</v>
      </c>
      <c r="B105" s="11"/>
    </row>
    <row r="106" spans="1:2" x14ac:dyDescent="0.3">
      <c r="A106" s="70" t="s">
        <v>47</v>
      </c>
      <c r="B106" s="11">
        <v>16.240500000000001</v>
      </c>
    </row>
    <row r="107" spans="1:2" x14ac:dyDescent="0.3">
      <c r="A107" s="10">
        <v>105</v>
      </c>
      <c r="B107" s="11"/>
    </row>
    <row r="108" spans="1:2" x14ac:dyDescent="0.3">
      <c r="A108" s="70" t="s">
        <v>47</v>
      </c>
      <c r="B108" s="11">
        <v>15.0375</v>
      </c>
    </row>
    <row r="109" spans="1:2" x14ac:dyDescent="0.3">
      <c r="A109" s="10">
        <v>106</v>
      </c>
      <c r="B109" s="11"/>
    </row>
    <row r="110" spans="1:2" x14ac:dyDescent="0.3">
      <c r="A110" s="70" t="s">
        <v>47</v>
      </c>
      <c r="B110" s="11">
        <v>13.473599999999999</v>
      </c>
    </row>
    <row r="111" spans="1:2" x14ac:dyDescent="0.3">
      <c r="A111" s="10">
        <v>107</v>
      </c>
      <c r="B111" s="11"/>
    </row>
    <row r="112" spans="1:2" x14ac:dyDescent="0.3">
      <c r="A112" s="70" t="s">
        <v>47</v>
      </c>
      <c r="B112" s="11">
        <v>14.195399999999999</v>
      </c>
    </row>
    <row r="113" spans="1:2" x14ac:dyDescent="0.3">
      <c r="A113" s="10">
        <v>108</v>
      </c>
      <c r="B113" s="11"/>
    </row>
    <row r="114" spans="1:2" x14ac:dyDescent="0.3">
      <c r="A114" s="70" t="s">
        <v>49</v>
      </c>
      <c r="B114" s="11">
        <v>15.2781</v>
      </c>
    </row>
    <row r="115" spans="1:2" x14ac:dyDescent="0.3">
      <c r="A115" s="10">
        <v>109</v>
      </c>
      <c r="B115" s="11"/>
    </row>
    <row r="116" spans="1:2" x14ac:dyDescent="0.3">
      <c r="A116" s="70" t="s">
        <v>49</v>
      </c>
      <c r="B116" s="11">
        <v>14.195399999999999</v>
      </c>
    </row>
    <row r="117" spans="1:2" x14ac:dyDescent="0.3">
      <c r="A117" s="10">
        <v>110</v>
      </c>
      <c r="B117" s="11"/>
    </row>
    <row r="118" spans="1:2" x14ac:dyDescent="0.3">
      <c r="A118" s="70" t="s">
        <v>49</v>
      </c>
      <c r="B118" s="11">
        <v>12.511199999999999</v>
      </c>
    </row>
    <row r="119" spans="1:2" x14ac:dyDescent="0.3">
      <c r="A119" s="10">
        <v>111</v>
      </c>
      <c r="B119" s="11"/>
    </row>
    <row r="120" spans="1:2" x14ac:dyDescent="0.3">
      <c r="A120" s="70" t="s">
        <v>49</v>
      </c>
      <c r="B120" s="11">
        <v>13.1127</v>
      </c>
    </row>
    <row r="121" spans="1:2" x14ac:dyDescent="0.3">
      <c r="A121" s="10">
        <v>112</v>
      </c>
      <c r="B121" s="11"/>
    </row>
    <row r="122" spans="1:2" x14ac:dyDescent="0.3">
      <c r="A122" s="70" t="s">
        <v>49</v>
      </c>
      <c r="B122" s="11">
        <v>16.240500000000001</v>
      </c>
    </row>
    <row r="123" spans="1:2" x14ac:dyDescent="0.3">
      <c r="A123" s="10">
        <v>113</v>
      </c>
      <c r="B123" s="11"/>
    </row>
    <row r="124" spans="1:2" x14ac:dyDescent="0.3">
      <c r="A124" s="70" t="s">
        <v>49</v>
      </c>
      <c r="B124" s="11">
        <v>15.0375</v>
      </c>
    </row>
    <row r="125" spans="1:2" x14ac:dyDescent="0.3">
      <c r="A125" s="10">
        <v>114</v>
      </c>
      <c r="B125" s="11"/>
    </row>
    <row r="126" spans="1:2" x14ac:dyDescent="0.3">
      <c r="A126" s="70" t="s">
        <v>49</v>
      </c>
      <c r="B126" s="11">
        <v>13.473599999999999</v>
      </c>
    </row>
    <row r="127" spans="1:2" x14ac:dyDescent="0.3">
      <c r="A127" s="10">
        <v>115</v>
      </c>
      <c r="B127" s="11"/>
    </row>
    <row r="128" spans="1:2" x14ac:dyDescent="0.3">
      <c r="A128" s="70" t="s">
        <v>49</v>
      </c>
      <c r="B128" s="11">
        <v>14.195399999999999</v>
      </c>
    </row>
    <row r="129" spans="1:2" x14ac:dyDescent="0.3">
      <c r="A129" s="10">
        <v>116</v>
      </c>
      <c r="B129" s="11"/>
    </row>
    <row r="130" spans="1:2" x14ac:dyDescent="0.3">
      <c r="A130" s="70" t="s">
        <v>48</v>
      </c>
      <c r="B130" s="11">
        <v>12.631499999999999</v>
      </c>
    </row>
    <row r="131" spans="1:2" x14ac:dyDescent="0.3">
      <c r="A131" s="10">
        <v>123</v>
      </c>
      <c r="B131" s="11"/>
    </row>
    <row r="132" spans="1:2" x14ac:dyDescent="0.3">
      <c r="A132" s="70" t="s">
        <v>50</v>
      </c>
      <c r="B132" s="11">
        <v>12.511199999999999</v>
      </c>
    </row>
    <row r="133" spans="1:2" x14ac:dyDescent="0.3">
      <c r="A133" s="10">
        <v>124</v>
      </c>
      <c r="B133" s="11"/>
    </row>
    <row r="134" spans="1:2" x14ac:dyDescent="0.3">
      <c r="A134" s="70" t="s">
        <v>50</v>
      </c>
      <c r="B134" s="11">
        <v>24.541199999999996</v>
      </c>
    </row>
    <row r="135" spans="1:2" x14ac:dyDescent="0.3">
      <c r="A135" s="10">
        <v>125</v>
      </c>
      <c r="B135" s="11"/>
    </row>
    <row r="136" spans="1:2" x14ac:dyDescent="0.3">
      <c r="A136" s="70" t="s">
        <v>50</v>
      </c>
      <c r="B136" s="11">
        <v>24.060000000000002</v>
      </c>
    </row>
    <row r="137" spans="1:2" x14ac:dyDescent="0.3">
      <c r="A137" s="10">
        <v>126</v>
      </c>
      <c r="B137" s="11"/>
    </row>
    <row r="138" spans="1:2" x14ac:dyDescent="0.3">
      <c r="A138" s="70" t="s">
        <v>50</v>
      </c>
      <c r="B138" s="11">
        <v>26.466000000000001</v>
      </c>
    </row>
    <row r="139" spans="1:2" x14ac:dyDescent="0.3">
      <c r="A139" s="10">
        <v>129</v>
      </c>
      <c r="B139" s="11"/>
    </row>
    <row r="140" spans="1:2" x14ac:dyDescent="0.3">
      <c r="A140" s="70" t="s">
        <v>50</v>
      </c>
      <c r="B140" s="11">
        <v>27.067499999999999</v>
      </c>
    </row>
    <row r="141" spans="1:2" x14ac:dyDescent="0.3">
      <c r="A141" s="10">
        <v>189</v>
      </c>
      <c r="B141" s="11"/>
    </row>
    <row r="142" spans="1:2" x14ac:dyDescent="0.3">
      <c r="A142" s="70" t="s">
        <v>54</v>
      </c>
      <c r="B142" s="11">
        <v>29.5</v>
      </c>
    </row>
    <row r="143" spans="1:2" x14ac:dyDescent="0.3">
      <c r="A143" s="10">
        <v>190</v>
      </c>
      <c r="B143" s="11"/>
    </row>
    <row r="144" spans="1:2" x14ac:dyDescent="0.3">
      <c r="A144" s="70" t="s">
        <v>54</v>
      </c>
      <c r="B144" s="11">
        <v>11.6</v>
      </c>
    </row>
    <row r="145" spans="1:2" x14ac:dyDescent="0.3">
      <c r="A145" s="10">
        <v>201</v>
      </c>
      <c r="B145" s="11"/>
    </row>
    <row r="146" spans="1:2" x14ac:dyDescent="0.3">
      <c r="A146" s="70" t="s">
        <v>64</v>
      </c>
      <c r="B146" s="11">
        <v>15.8796</v>
      </c>
    </row>
    <row r="147" spans="1:2" x14ac:dyDescent="0.3">
      <c r="A147" s="10">
        <v>203</v>
      </c>
      <c r="B147" s="11"/>
    </row>
    <row r="148" spans="1:2" x14ac:dyDescent="0.3">
      <c r="A148" s="70" t="s">
        <v>65</v>
      </c>
      <c r="B148" s="11">
        <v>8.3557973999999984</v>
      </c>
    </row>
    <row r="149" spans="1:2" x14ac:dyDescent="0.3">
      <c r="A149" s="10">
        <v>213</v>
      </c>
      <c r="B149" s="11"/>
    </row>
    <row r="150" spans="1:2" x14ac:dyDescent="0.3">
      <c r="A150" s="70" t="s">
        <v>68</v>
      </c>
      <c r="B150" s="11">
        <v>17.265277777777776</v>
      </c>
    </row>
    <row r="151" spans="1:2" x14ac:dyDescent="0.3">
      <c r="A151" s="10">
        <v>219</v>
      </c>
      <c r="B151" s="11"/>
    </row>
    <row r="152" spans="1:2" x14ac:dyDescent="0.3">
      <c r="A152" s="70" t="s">
        <v>70</v>
      </c>
      <c r="B152" s="11">
        <v>7.218</v>
      </c>
    </row>
    <row r="153" spans="1:2" x14ac:dyDescent="0.3">
      <c r="A153" s="10">
        <v>260</v>
      </c>
      <c r="B153" s="11"/>
    </row>
    <row r="154" spans="1:2" x14ac:dyDescent="0.3">
      <c r="A154" s="70" t="s">
        <v>88</v>
      </c>
      <c r="B154" s="11">
        <v>10.466099999999999</v>
      </c>
    </row>
    <row r="155" spans="1:2" x14ac:dyDescent="0.3">
      <c r="A155" s="9" t="s">
        <v>140</v>
      </c>
      <c r="B155" s="11"/>
    </row>
    <row r="156" spans="1:2" x14ac:dyDescent="0.3">
      <c r="A156" s="10">
        <v>117</v>
      </c>
      <c r="B156" s="11"/>
    </row>
    <row r="157" spans="1:2" x14ac:dyDescent="0.3">
      <c r="A157" s="70" t="s">
        <v>48</v>
      </c>
      <c r="B157" s="11">
        <v>28.631399999999999</v>
      </c>
    </row>
    <row r="158" spans="1:2" x14ac:dyDescent="0.3">
      <c r="A158" s="10">
        <v>130</v>
      </c>
      <c r="B158" s="11"/>
    </row>
    <row r="159" spans="1:2" x14ac:dyDescent="0.3">
      <c r="A159" s="70" t="s">
        <v>50</v>
      </c>
      <c r="B159" s="11">
        <v>48.962099999999992</v>
      </c>
    </row>
    <row r="160" spans="1:2" x14ac:dyDescent="0.3">
      <c r="A160" s="10">
        <v>139</v>
      </c>
      <c r="B160" s="11"/>
    </row>
    <row r="161" spans="1:2" x14ac:dyDescent="0.3">
      <c r="A161" s="70" t="s">
        <v>52</v>
      </c>
      <c r="B161" s="11">
        <v>48.607999999999997</v>
      </c>
    </row>
  </sheetData>
  <pageMargins left="0.7" right="0.7" top="0.75" bottom="0.75" header="0.3" footer="0.3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34:B50"/>
  <sheetViews>
    <sheetView workbookViewId="0"/>
  </sheetViews>
  <sheetFormatPr defaultColWidth="9.109375" defaultRowHeight="14.4" x14ac:dyDescent="0.3"/>
  <cols>
    <col min="1" max="1" width="40.6640625" customWidth="1"/>
    <col min="2" max="2" width="23" bestFit="1" customWidth="1"/>
  </cols>
  <sheetData>
    <row r="34" spans="1:2" x14ac:dyDescent="0.3">
      <c r="A34" s="8" t="s">
        <v>126</v>
      </c>
      <c r="B34" t="s">
        <v>142</v>
      </c>
    </row>
    <row r="35" spans="1:2" x14ac:dyDescent="0.3">
      <c r="A35" s="8" t="s">
        <v>127</v>
      </c>
      <c r="B35" t="s">
        <v>62</v>
      </c>
    </row>
    <row r="36" spans="1:2" x14ac:dyDescent="0.3">
      <c r="A36" s="8" t="s">
        <v>133</v>
      </c>
      <c r="B36" t="s">
        <v>154</v>
      </c>
    </row>
    <row r="38" spans="1:2" x14ac:dyDescent="0.3">
      <c r="A38" s="8" t="s">
        <v>170</v>
      </c>
      <c r="B38" t="s">
        <v>172</v>
      </c>
    </row>
    <row r="39" spans="1:2" x14ac:dyDescent="0.3">
      <c r="A39" s="9">
        <v>25</v>
      </c>
      <c r="B39" s="11"/>
    </row>
    <row r="40" spans="1:2" x14ac:dyDescent="0.3">
      <c r="A40" s="10" t="s">
        <v>21</v>
      </c>
      <c r="B40" s="14">
        <v>7.25E-5</v>
      </c>
    </row>
    <row r="41" spans="1:2" x14ac:dyDescent="0.3">
      <c r="A41" s="9">
        <v>155</v>
      </c>
      <c r="B41" s="11"/>
    </row>
    <row r="42" spans="1:2" x14ac:dyDescent="0.3">
      <c r="A42" s="10" t="s">
        <v>7</v>
      </c>
      <c r="B42" s="14">
        <v>7.3099999999999988E-5</v>
      </c>
    </row>
    <row r="43" spans="1:2" x14ac:dyDescent="0.3">
      <c r="A43" s="9">
        <v>158</v>
      </c>
      <c r="B43" s="11"/>
    </row>
    <row r="44" spans="1:2" x14ac:dyDescent="0.3">
      <c r="A44" s="10" t="s">
        <v>2</v>
      </c>
      <c r="B44" s="14">
        <v>7.3090999999999995E-5</v>
      </c>
    </row>
    <row r="45" spans="1:2" x14ac:dyDescent="0.3">
      <c r="A45" s="9">
        <v>174</v>
      </c>
      <c r="B45" s="11"/>
    </row>
    <row r="46" spans="1:2" x14ac:dyDescent="0.3">
      <c r="A46" s="10" t="s">
        <v>8</v>
      </c>
      <c r="B46" s="14">
        <v>7.2000000000000002E-5</v>
      </c>
    </row>
    <row r="47" spans="1:2" x14ac:dyDescent="0.3">
      <c r="A47" s="9">
        <v>198</v>
      </c>
      <c r="B47" s="11"/>
    </row>
    <row r="48" spans="1:2" x14ac:dyDescent="0.3">
      <c r="A48" s="10" t="s">
        <v>10</v>
      </c>
      <c r="B48" s="14">
        <v>7.3159607818509481E-5</v>
      </c>
    </row>
    <row r="49" spans="1:2" x14ac:dyDescent="0.3">
      <c r="A49" s="9">
        <v>249</v>
      </c>
      <c r="B49" s="11"/>
    </row>
    <row r="50" spans="1:2" x14ac:dyDescent="0.3">
      <c r="A50" s="10" t="s">
        <v>83</v>
      </c>
      <c r="B50" s="14">
        <v>7.2000000000000002E-5</v>
      </c>
    </row>
  </sheetData>
  <pageMargins left="0.7" right="0.7" top="0.75" bottom="0.75" header="0.3" footer="0.3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34:B46"/>
  <sheetViews>
    <sheetView workbookViewId="0"/>
  </sheetViews>
  <sheetFormatPr defaultColWidth="9.109375" defaultRowHeight="14.4" x14ac:dyDescent="0.3"/>
  <cols>
    <col min="1" max="1" width="40.6640625" customWidth="1"/>
    <col min="2" max="2" width="23" bestFit="1" customWidth="1"/>
  </cols>
  <sheetData>
    <row r="34" spans="1:2" x14ac:dyDescent="0.3">
      <c r="A34" s="8" t="s">
        <v>126</v>
      </c>
      <c r="B34" t="s">
        <v>0</v>
      </c>
    </row>
    <row r="35" spans="1:2" x14ac:dyDescent="0.3">
      <c r="A35" s="8" t="s">
        <v>127</v>
      </c>
      <c r="B35" t="s">
        <v>62</v>
      </c>
    </row>
    <row r="36" spans="1:2" x14ac:dyDescent="0.3">
      <c r="A36" s="8" t="s">
        <v>133</v>
      </c>
      <c r="B36" t="s">
        <v>154</v>
      </c>
    </row>
    <row r="38" spans="1:2" x14ac:dyDescent="0.3">
      <c r="A38" s="8" t="s">
        <v>170</v>
      </c>
      <c r="B38" t="s">
        <v>172</v>
      </c>
    </row>
    <row r="39" spans="1:2" x14ac:dyDescent="0.3">
      <c r="A39" s="9">
        <v>156</v>
      </c>
      <c r="B39" s="11"/>
    </row>
    <row r="40" spans="1:2" x14ac:dyDescent="0.3">
      <c r="A40" s="10" t="s">
        <v>7</v>
      </c>
      <c r="B40" s="15">
        <v>7.3999999999999996E-5</v>
      </c>
    </row>
    <row r="41" spans="1:2" x14ac:dyDescent="0.3">
      <c r="A41" s="9">
        <v>159</v>
      </c>
      <c r="B41" s="11"/>
    </row>
    <row r="42" spans="1:2" x14ac:dyDescent="0.3">
      <c r="A42" s="10" t="s">
        <v>2</v>
      </c>
      <c r="B42" s="15">
        <v>7.4027000000000001E-5</v>
      </c>
    </row>
    <row r="43" spans="1:2" x14ac:dyDescent="0.3">
      <c r="A43" s="9">
        <v>199</v>
      </c>
      <c r="B43" s="11"/>
    </row>
    <row r="44" spans="1:2" x14ac:dyDescent="0.3">
      <c r="A44" s="10" t="s">
        <v>10</v>
      </c>
      <c r="B44" s="15">
        <v>7.3836462052171429E-5</v>
      </c>
    </row>
    <row r="45" spans="1:2" x14ac:dyDescent="0.3">
      <c r="A45" s="9">
        <v>251</v>
      </c>
      <c r="B45" s="11"/>
    </row>
    <row r="46" spans="1:2" x14ac:dyDescent="0.3">
      <c r="A46" s="10" t="s">
        <v>85</v>
      </c>
      <c r="B46" s="15">
        <v>7.3999999999999996E-5</v>
      </c>
    </row>
  </sheetData>
  <pageMargins left="0.7" right="0.7" top="0.75" bottom="0.75" header="0.3" footer="0.3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34:B44"/>
  <sheetViews>
    <sheetView workbookViewId="0"/>
  </sheetViews>
  <sheetFormatPr defaultColWidth="9.109375" defaultRowHeight="14.4" x14ac:dyDescent="0.3"/>
  <cols>
    <col min="1" max="1" width="40.6640625" customWidth="1"/>
    <col min="2" max="2" width="23" bestFit="1" customWidth="1"/>
  </cols>
  <sheetData>
    <row r="34" spans="1:2" x14ac:dyDescent="0.3">
      <c r="A34" s="8" t="s">
        <v>126</v>
      </c>
      <c r="B34" t="s">
        <v>151</v>
      </c>
    </row>
    <row r="35" spans="1:2" x14ac:dyDescent="0.3">
      <c r="A35" s="8" t="s">
        <v>127</v>
      </c>
      <c r="B35" t="s">
        <v>62</v>
      </c>
    </row>
    <row r="36" spans="1:2" x14ac:dyDescent="0.3">
      <c r="A36" s="8" t="s">
        <v>133</v>
      </c>
      <c r="B36" t="s">
        <v>154</v>
      </c>
    </row>
    <row r="38" spans="1:2" x14ac:dyDescent="0.3">
      <c r="A38" s="8" t="s">
        <v>170</v>
      </c>
      <c r="B38" t="s">
        <v>172</v>
      </c>
    </row>
    <row r="39" spans="1:2" x14ac:dyDescent="0.3">
      <c r="A39" s="9">
        <v>157</v>
      </c>
      <c r="B39" s="11"/>
    </row>
    <row r="40" spans="1:2" x14ac:dyDescent="0.3">
      <c r="A40" s="10" t="s">
        <v>7</v>
      </c>
      <c r="B40" s="15">
        <v>6.4999999999999994E-5</v>
      </c>
    </row>
    <row r="41" spans="1:2" x14ac:dyDescent="0.3">
      <c r="A41" s="9">
        <v>161</v>
      </c>
      <c r="B41" s="11"/>
    </row>
    <row r="42" spans="1:2" x14ac:dyDescent="0.3">
      <c r="A42" s="10" t="s">
        <v>2</v>
      </c>
      <c r="B42" s="15">
        <v>6.5523000000000003E-5</v>
      </c>
    </row>
    <row r="43" spans="1:2" x14ac:dyDescent="0.3">
      <c r="A43" s="9">
        <v>200</v>
      </c>
      <c r="B43" s="11"/>
    </row>
    <row r="44" spans="1:2" x14ac:dyDescent="0.3">
      <c r="A44" s="10" t="s">
        <v>10</v>
      </c>
      <c r="B44" s="15">
        <v>5.5954436273550516E-5</v>
      </c>
    </row>
  </sheetData>
  <pageMargins left="0.7" right="0.7" top="0.75" bottom="0.75" header="0.3" footer="0.3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34:B124"/>
  <sheetViews>
    <sheetView workbookViewId="0"/>
  </sheetViews>
  <sheetFormatPr defaultColWidth="11.5546875" defaultRowHeight="14.4" x14ac:dyDescent="0.3"/>
  <cols>
    <col min="1" max="1" width="22.44140625" customWidth="1"/>
    <col min="2" max="2" width="24.88671875" customWidth="1"/>
    <col min="3" max="3" width="45.6640625" customWidth="1"/>
    <col min="4" max="4" width="44" customWidth="1"/>
    <col min="5" max="5" width="65.44140625" customWidth="1"/>
    <col min="6" max="6" width="57.44140625" customWidth="1"/>
    <col min="7" max="7" width="153.33203125" bestFit="1" customWidth="1"/>
    <col min="8" max="8" width="119.33203125" bestFit="1" customWidth="1"/>
    <col min="9" max="9" width="81.5546875" bestFit="1" customWidth="1"/>
    <col min="10" max="14" width="74.6640625" bestFit="1" customWidth="1"/>
    <col min="15" max="15" width="255.6640625" bestFit="1" customWidth="1"/>
    <col min="16" max="16" width="15.5546875" bestFit="1" customWidth="1"/>
    <col min="17" max="17" width="10" bestFit="1" customWidth="1"/>
    <col min="18" max="18" width="9" bestFit="1" customWidth="1"/>
    <col min="19" max="19" width="12" bestFit="1" customWidth="1"/>
    <col min="20" max="21" width="8" bestFit="1" customWidth="1"/>
    <col min="22" max="22" width="5" bestFit="1" customWidth="1"/>
    <col min="23" max="23" width="6" bestFit="1" customWidth="1"/>
    <col min="24" max="25" width="8" bestFit="1" customWidth="1"/>
    <col min="26" max="28" width="7" bestFit="1" customWidth="1"/>
    <col min="29" max="29" width="3" bestFit="1" customWidth="1"/>
    <col min="30" max="30" width="6" bestFit="1" customWidth="1"/>
    <col min="31" max="31" width="5" bestFit="1" customWidth="1"/>
    <col min="32" max="32" width="6" bestFit="1" customWidth="1"/>
    <col min="33" max="33" width="5" bestFit="1" customWidth="1"/>
    <col min="34" max="34" width="6" bestFit="1" customWidth="1"/>
    <col min="35" max="35" width="3" bestFit="1" customWidth="1"/>
    <col min="36" max="36" width="5" bestFit="1" customWidth="1"/>
    <col min="37" max="38" width="7" bestFit="1" customWidth="1"/>
    <col min="39" max="39" width="6" bestFit="1" customWidth="1"/>
    <col min="40" max="40" width="5" bestFit="1" customWidth="1"/>
    <col min="41" max="41" width="7" bestFit="1" customWidth="1"/>
    <col min="42" max="42" width="6" bestFit="1" customWidth="1"/>
    <col min="43" max="45" width="5" bestFit="1" customWidth="1"/>
    <col min="46" max="46" width="12" bestFit="1" customWidth="1"/>
    <col min="47" max="48" width="5" bestFit="1" customWidth="1"/>
    <col min="49" max="50" width="6" bestFit="1" customWidth="1"/>
    <col min="51" max="52" width="7" bestFit="1" customWidth="1"/>
    <col min="53" max="53" width="7.6640625" bestFit="1" customWidth="1"/>
    <col min="54" max="54" width="6.33203125" bestFit="1" customWidth="1"/>
    <col min="55" max="55" width="15.5546875" bestFit="1" customWidth="1"/>
  </cols>
  <sheetData>
    <row r="34" spans="1:2" x14ac:dyDescent="0.3">
      <c r="A34" s="8" t="s">
        <v>126</v>
      </c>
      <c r="B34" t="s">
        <v>150</v>
      </c>
    </row>
    <row r="35" spans="1:2" x14ac:dyDescent="0.3">
      <c r="A35" s="8" t="s">
        <v>127</v>
      </c>
      <c r="B35" t="s">
        <v>62</v>
      </c>
    </row>
    <row r="36" spans="1:2" x14ac:dyDescent="0.3">
      <c r="A36" s="8" t="s">
        <v>133</v>
      </c>
      <c r="B36" t="s">
        <v>154</v>
      </c>
    </row>
    <row r="38" spans="1:2" x14ac:dyDescent="0.3">
      <c r="A38" s="8" t="s">
        <v>170</v>
      </c>
      <c r="B38" t="s">
        <v>172</v>
      </c>
    </row>
    <row r="39" spans="1:2" x14ac:dyDescent="0.3">
      <c r="A39" s="9">
        <v>26</v>
      </c>
      <c r="B39" s="11"/>
    </row>
    <row r="40" spans="1:2" x14ac:dyDescent="0.3">
      <c r="A40" s="10" t="s">
        <v>18</v>
      </c>
      <c r="B40" s="15">
        <v>5.8399999999999997E-5</v>
      </c>
    </row>
    <row r="41" spans="1:2" x14ac:dyDescent="0.3">
      <c r="A41" s="9">
        <v>27</v>
      </c>
      <c r="B41" s="11"/>
    </row>
    <row r="42" spans="1:2" x14ac:dyDescent="0.3">
      <c r="A42" s="10" t="s">
        <v>12</v>
      </c>
      <c r="B42" s="15">
        <v>5.5999999999999999E-5</v>
      </c>
    </row>
    <row r="43" spans="1:2" x14ac:dyDescent="0.3">
      <c r="A43" s="9">
        <v>160</v>
      </c>
      <c r="B43" s="11"/>
    </row>
    <row r="44" spans="1:2" x14ac:dyDescent="0.3">
      <c r="A44" s="10" t="s">
        <v>2</v>
      </c>
      <c r="B44" s="15">
        <v>5.5943999999999998E-5</v>
      </c>
    </row>
    <row r="45" spans="1:2" x14ac:dyDescent="0.3">
      <c r="A45" s="9">
        <v>238</v>
      </c>
      <c r="B45" s="11"/>
    </row>
    <row r="46" spans="1:2" x14ac:dyDescent="0.3">
      <c r="A46" s="10" t="s">
        <v>10</v>
      </c>
      <c r="B46" s="15">
        <v>5.5999999999999999E-5</v>
      </c>
    </row>
    <row r="47" spans="1:2" x14ac:dyDescent="0.3">
      <c r="A47" s="9">
        <v>245</v>
      </c>
      <c r="B47" s="15"/>
    </row>
    <row r="48" spans="1:2" x14ac:dyDescent="0.3">
      <c r="A48" s="10" t="s">
        <v>79</v>
      </c>
      <c r="B48" s="15">
        <v>5.5600000000000003E-5</v>
      </c>
    </row>
    <row r="49" spans="1:2" x14ac:dyDescent="0.3">
      <c r="A49" s="9">
        <v>254</v>
      </c>
      <c r="B49" s="15"/>
    </row>
    <row r="50" spans="1:2" x14ac:dyDescent="0.3">
      <c r="A50" s="10" t="s">
        <v>86</v>
      </c>
      <c r="B50" s="15">
        <v>5.5999999999999999E-5</v>
      </c>
    </row>
    <row r="77" spans="1:2" x14ac:dyDescent="0.3">
      <c r="A77" s="9"/>
      <c r="B77" s="11"/>
    </row>
    <row r="78" spans="1:2" x14ac:dyDescent="0.3">
      <c r="A78" s="10"/>
      <c r="B78" s="15"/>
    </row>
    <row r="93" spans="1:2" x14ac:dyDescent="0.3">
      <c r="A93" s="9"/>
      <c r="B93" s="11"/>
    </row>
    <row r="94" spans="1:2" x14ac:dyDescent="0.3">
      <c r="A94" s="10"/>
      <c r="B94" s="15"/>
    </row>
    <row r="104" spans="1:2" x14ac:dyDescent="0.3">
      <c r="A104" s="8" t="s">
        <v>126</v>
      </c>
      <c r="B104" t="s">
        <v>152</v>
      </c>
    </row>
    <row r="105" spans="1:2" x14ac:dyDescent="0.3">
      <c r="A105" s="8" t="s">
        <v>127</v>
      </c>
      <c r="B105" t="s">
        <v>62</v>
      </c>
    </row>
    <row r="107" spans="1:2" x14ac:dyDescent="0.3">
      <c r="A107" s="8" t="s">
        <v>170</v>
      </c>
      <c r="B107" t="s">
        <v>172</v>
      </c>
    </row>
    <row r="116" spans="1:2" x14ac:dyDescent="0.3">
      <c r="A116" s="9"/>
      <c r="B116" s="11"/>
    </row>
    <row r="117" spans="1:2" x14ac:dyDescent="0.3">
      <c r="A117" s="10"/>
      <c r="B117" s="11"/>
    </row>
    <row r="118" spans="1:2" x14ac:dyDescent="0.3">
      <c r="A118" s="10"/>
      <c r="B118" s="11"/>
    </row>
    <row r="119" spans="1:2" x14ac:dyDescent="0.3">
      <c r="A119" s="10"/>
      <c r="B119" s="11"/>
    </row>
    <row r="120" spans="1:2" x14ac:dyDescent="0.3">
      <c r="A120" s="10"/>
      <c r="B120" s="4"/>
    </row>
    <row r="121" spans="1:2" x14ac:dyDescent="0.3">
      <c r="A121" s="10"/>
      <c r="B121" s="11"/>
    </row>
    <row r="122" spans="1:2" x14ac:dyDescent="0.3">
      <c r="A122" s="10"/>
      <c r="B122" s="11"/>
    </row>
    <row r="123" spans="1:2" x14ac:dyDescent="0.3">
      <c r="A123" s="9"/>
      <c r="B123" s="4"/>
    </row>
    <row r="124" spans="1:2" x14ac:dyDescent="0.3">
      <c r="A124" s="12"/>
    </row>
  </sheetData>
  <pageMargins left="0.7" right="0.7" top="0.78740157499999996" bottom="0.78740157499999996" header="0.3" footer="0.3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39997558519241921"/>
  </sheetPr>
  <dimension ref="A1:AQ295"/>
  <sheetViews>
    <sheetView zoomScale="90" zoomScaleNormal="90" workbookViewId="0">
      <selection activeCell="I3" sqref="I3"/>
    </sheetView>
  </sheetViews>
  <sheetFormatPr defaultColWidth="11.5546875" defaultRowHeight="14.4" x14ac:dyDescent="0.3"/>
  <cols>
    <col min="1" max="1" width="6.33203125" bestFit="1" customWidth="1"/>
    <col min="2" max="2" width="33.33203125" customWidth="1"/>
    <col min="3" max="3" width="11.44140625" customWidth="1"/>
    <col min="4" max="4" width="24.109375" bestFit="1" customWidth="1"/>
    <col min="5" max="5" width="19.77734375" bestFit="1" customWidth="1"/>
    <col min="6" max="6" width="16.33203125" bestFit="1" customWidth="1"/>
    <col min="7" max="7" width="12.44140625" customWidth="1"/>
    <col min="8" max="8" width="14.33203125" customWidth="1"/>
    <col min="9" max="9" width="14" customWidth="1"/>
    <col min="10" max="10" width="12.21875" customWidth="1"/>
    <col min="11" max="11" width="10.88671875" bestFit="1" customWidth="1"/>
    <col min="12" max="12" width="10.33203125" bestFit="1" customWidth="1"/>
    <col min="13" max="22" width="6.44140625" customWidth="1"/>
    <col min="23" max="23" width="8" bestFit="1" customWidth="1"/>
    <col min="24" max="24" width="7" bestFit="1" customWidth="1"/>
    <col min="25" max="25" width="6.6640625" bestFit="1" customWidth="1"/>
    <col min="26" max="28" width="8" bestFit="1" customWidth="1"/>
    <col min="29" max="30" width="7" bestFit="1" customWidth="1"/>
    <col min="31" max="31" width="4.6640625" customWidth="1"/>
    <col min="32" max="35" width="7.109375" bestFit="1" customWidth="1"/>
    <col min="36" max="36" width="8" bestFit="1" customWidth="1"/>
    <col min="37" max="43" width="7.109375" bestFit="1" customWidth="1"/>
  </cols>
  <sheetData>
    <row r="1" spans="1:18" ht="18.75" customHeight="1" x14ac:dyDescent="0.35">
      <c r="A1" s="79" t="s">
        <v>138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1"/>
      <c r="N1" s="1"/>
      <c r="O1" s="1"/>
      <c r="P1" s="1"/>
      <c r="Q1" s="1"/>
      <c r="R1" s="1"/>
    </row>
    <row r="2" spans="1:18" ht="28.8" x14ac:dyDescent="0.3">
      <c r="A2" s="1" t="s">
        <v>123</v>
      </c>
      <c r="B2" s="1" t="s">
        <v>124</v>
      </c>
      <c r="C2" s="1" t="s">
        <v>125</v>
      </c>
      <c r="D2" s="1" t="s">
        <v>126</v>
      </c>
      <c r="E2" s="1" t="s">
        <v>127</v>
      </c>
      <c r="F2" s="1" t="s">
        <v>128</v>
      </c>
      <c r="G2" s="1" t="s">
        <v>129</v>
      </c>
      <c r="H2" s="1" t="s">
        <v>130</v>
      </c>
      <c r="I2" s="1" t="s">
        <v>182</v>
      </c>
      <c r="J2" s="1" t="s">
        <v>131</v>
      </c>
      <c r="K2" s="1" t="s">
        <v>132</v>
      </c>
      <c r="L2" s="1" t="s">
        <v>133</v>
      </c>
      <c r="M2" s="1"/>
      <c r="N2" s="1"/>
    </row>
    <row r="3" spans="1:18" x14ac:dyDescent="0.3">
      <c r="A3">
        <v>1</v>
      </c>
      <c r="B3" t="s">
        <v>17</v>
      </c>
      <c r="C3">
        <v>2003</v>
      </c>
      <c r="D3" t="s">
        <v>142</v>
      </c>
      <c r="E3" t="s">
        <v>168</v>
      </c>
      <c r="F3" t="s">
        <v>14</v>
      </c>
      <c r="G3">
        <v>43.5</v>
      </c>
      <c r="H3" t="s">
        <v>14</v>
      </c>
      <c r="I3">
        <f>Tabelle_alle_Kennzahlen[[#This Row],[value (research)]]</f>
        <v>43.5</v>
      </c>
      <c r="J3">
        <f>Tabelle_alle_Kennzahlen[[#This Row],[publication year]]</f>
        <v>2003</v>
      </c>
      <c r="K3" t="s">
        <v>89</v>
      </c>
      <c r="L3" t="s">
        <v>154</v>
      </c>
    </row>
    <row r="4" spans="1:18" x14ac:dyDescent="0.3">
      <c r="A4">
        <v>2</v>
      </c>
      <c r="B4" t="s">
        <v>17</v>
      </c>
      <c r="C4">
        <v>2003</v>
      </c>
      <c r="D4" t="s">
        <v>147</v>
      </c>
      <c r="E4" t="s">
        <v>168</v>
      </c>
      <c r="F4" t="s">
        <v>14</v>
      </c>
      <c r="G4">
        <v>42.5</v>
      </c>
      <c r="H4" t="s">
        <v>14</v>
      </c>
      <c r="I4">
        <f>Tabelle_alle_Kennzahlen[[#This Row],[value (research)]]</f>
        <v>42.5</v>
      </c>
      <c r="J4">
        <f>Tabelle_alle_Kennzahlen[[#This Row],[publication year]]</f>
        <v>2003</v>
      </c>
      <c r="K4" t="s">
        <v>89</v>
      </c>
      <c r="L4" t="s">
        <v>154</v>
      </c>
    </row>
    <row r="5" spans="1:18" x14ac:dyDescent="0.3">
      <c r="A5">
        <v>3</v>
      </c>
      <c r="B5" t="s">
        <v>17</v>
      </c>
      <c r="C5">
        <v>2003</v>
      </c>
      <c r="D5" t="s">
        <v>150</v>
      </c>
      <c r="E5" t="s">
        <v>168</v>
      </c>
      <c r="F5" t="s">
        <v>14</v>
      </c>
      <c r="G5">
        <v>46.7</v>
      </c>
      <c r="H5" t="s">
        <v>14</v>
      </c>
      <c r="I5" s="2">
        <f>Tabelle_alle_Kennzahlen[[#This Row],[value (research)]]</f>
        <v>46.7</v>
      </c>
      <c r="J5">
        <f>Tabelle_alle_Kennzahlen[[#This Row],[publication year]]</f>
        <v>2003</v>
      </c>
      <c r="K5" t="s">
        <v>89</v>
      </c>
      <c r="L5" t="s">
        <v>154</v>
      </c>
    </row>
    <row r="6" spans="1:18" x14ac:dyDescent="0.3">
      <c r="A6">
        <v>4</v>
      </c>
      <c r="B6" t="s">
        <v>17</v>
      </c>
      <c r="C6">
        <v>2003</v>
      </c>
      <c r="D6" t="s">
        <v>151</v>
      </c>
      <c r="E6" t="s">
        <v>168</v>
      </c>
      <c r="F6" t="s">
        <v>14</v>
      </c>
      <c r="G6" s="2">
        <v>46.1</v>
      </c>
      <c r="H6" t="s">
        <v>14</v>
      </c>
      <c r="I6" s="2">
        <f>Tabelle_alle_Kennzahlen[[#This Row],[value (research)]]</f>
        <v>46.1</v>
      </c>
      <c r="J6">
        <f>Tabelle_alle_Kennzahlen[[#This Row],[publication year]]</f>
        <v>2003</v>
      </c>
      <c r="K6" t="s">
        <v>89</v>
      </c>
      <c r="L6" t="s">
        <v>154</v>
      </c>
    </row>
    <row r="7" spans="1:18" x14ac:dyDescent="0.3">
      <c r="A7">
        <v>5</v>
      </c>
      <c r="B7" t="s">
        <v>17</v>
      </c>
      <c r="C7">
        <v>2003</v>
      </c>
      <c r="D7" t="s">
        <v>150</v>
      </c>
      <c r="E7" t="s">
        <v>168</v>
      </c>
      <c r="F7" t="s">
        <v>14</v>
      </c>
      <c r="G7">
        <v>49.1</v>
      </c>
      <c r="H7" t="s">
        <v>14</v>
      </c>
      <c r="I7" s="2">
        <f>Tabelle_alle_Kennzahlen[[#This Row],[value (research)]]</f>
        <v>49.1</v>
      </c>
      <c r="J7">
        <f>Tabelle_alle_Kennzahlen[[#This Row],[publication year]]</f>
        <v>2003</v>
      </c>
      <c r="K7" t="s">
        <v>89</v>
      </c>
      <c r="L7" t="s">
        <v>154</v>
      </c>
    </row>
    <row r="8" spans="1:18" x14ac:dyDescent="0.3">
      <c r="A8">
        <v>257</v>
      </c>
      <c r="B8" t="s">
        <v>88</v>
      </c>
      <c r="C8">
        <v>2004</v>
      </c>
      <c r="D8" t="s">
        <v>152</v>
      </c>
      <c r="E8" t="s">
        <v>136</v>
      </c>
      <c r="F8" t="s">
        <v>157</v>
      </c>
      <c r="G8">
        <v>8.9999999999999993E-3</v>
      </c>
      <c r="H8" t="s">
        <v>158</v>
      </c>
      <c r="I8" s="4">
        <f>Tabelle_alle_Kennzahlen[[#This Row],[value (research)]]*'2'!$E$58</f>
        <v>1.0827</v>
      </c>
      <c r="J8">
        <f>Tabelle_alle_Kennzahlen[[#This Row],[publication year]]</f>
        <v>2004</v>
      </c>
      <c r="K8" t="s">
        <v>139</v>
      </c>
      <c r="L8" t="s">
        <v>154</v>
      </c>
    </row>
    <row r="9" spans="1:18" x14ac:dyDescent="0.3">
      <c r="A9">
        <v>138</v>
      </c>
      <c r="B9" t="s">
        <v>52</v>
      </c>
      <c r="C9">
        <v>2015</v>
      </c>
      <c r="D9" t="s">
        <v>152</v>
      </c>
      <c r="E9" t="s">
        <v>136</v>
      </c>
      <c r="F9" t="s">
        <v>53</v>
      </c>
      <c r="G9">
        <v>16</v>
      </c>
      <c r="H9" t="s">
        <v>158</v>
      </c>
      <c r="I9" s="17">
        <f>Tabelle_alle_Kennzahlen[[#This Row],[value (research)]]*78.4/1000</f>
        <v>1.2544000000000002</v>
      </c>
      <c r="J9">
        <f>Tabelle_alle_Kennzahlen[[#This Row],[publication year]]</f>
        <v>2015</v>
      </c>
      <c r="K9" t="s">
        <v>139</v>
      </c>
      <c r="L9" t="s">
        <v>154</v>
      </c>
    </row>
    <row r="10" spans="1:18" x14ac:dyDescent="0.3">
      <c r="A10">
        <v>131</v>
      </c>
      <c r="B10" t="s">
        <v>50</v>
      </c>
      <c r="C10">
        <v>2014</v>
      </c>
      <c r="D10" t="s">
        <v>152</v>
      </c>
      <c r="E10" t="s">
        <v>136</v>
      </c>
      <c r="F10" t="s">
        <v>6</v>
      </c>
      <c r="G10">
        <v>12</v>
      </c>
      <c r="H10" t="s">
        <v>158</v>
      </c>
      <c r="I10" s="4">
        <f>Tabelle_alle_Kennzahlen[[#This Row],[value (research)]]/1000*'2'!$E$58</f>
        <v>1.4436</v>
      </c>
      <c r="J10">
        <f>Tabelle_alle_Kennzahlen[[#This Row],[publication year]]</f>
        <v>2014</v>
      </c>
      <c r="K10" t="s">
        <v>139</v>
      </c>
      <c r="L10" t="s">
        <v>154</v>
      </c>
    </row>
    <row r="11" spans="1:18" x14ac:dyDescent="0.3">
      <c r="A11">
        <v>277</v>
      </c>
      <c r="B11" t="s">
        <v>98</v>
      </c>
      <c r="C11">
        <v>2012</v>
      </c>
      <c r="D11" t="s">
        <v>152</v>
      </c>
      <c r="E11" t="s">
        <v>136</v>
      </c>
      <c r="F11" t="s">
        <v>158</v>
      </c>
      <c r="G11">
        <v>1.5</v>
      </c>
      <c r="H11" t="s">
        <v>158</v>
      </c>
      <c r="I11" s="4">
        <f>Tabelle_alle_Kennzahlen[[#This Row],[value (research)]]</f>
        <v>1.5</v>
      </c>
      <c r="J11">
        <v>2012</v>
      </c>
      <c r="K11" t="s">
        <v>139</v>
      </c>
      <c r="L11" t="s">
        <v>154</v>
      </c>
    </row>
    <row r="12" spans="1:18" x14ac:dyDescent="0.3">
      <c r="A12">
        <v>215</v>
      </c>
      <c r="B12" t="s">
        <v>68</v>
      </c>
      <c r="C12">
        <v>2006</v>
      </c>
      <c r="D12" t="s">
        <v>152</v>
      </c>
      <c r="E12" t="s">
        <v>136</v>
      </c>
      <c r="F12" t="s">
        <v>53</v>
      </c>
      <c r="G12">
        <v>15</v>
      </c>
      <c r="H12" t="s">
        <v>158</v>
      </c>
      <c r="I12" s="36">
        <f>Tabelle_alle_Kennzahlen[[#This Row],[value (research)]]/1000*100/3.6/30*'2'!$E$58</f>
        <v>1.6708333333333332</v>
      </c>
      <c r="J12">
        <f>Tabelle_alle_Kennzahlen[[#This Row],[publication year]]</f>
        <v>2006</v>
      </c>
      <c r="K12" t="s">
        <v>139</v>
      </c>
      <c r="L12" t="s">
        <v>154</v>
      </c>
    </row>
    <row r="13" spans="1:18" x14ac:dyDescent="0.3">
      <c r="A13">
        <v>120</v>
      </c>
      <c r="B13" t="s">
        <v>48</v>
      </c>
      <c r="C13">
        <v>2014</v>
      </c>
      <c r="D13" t="s">
        <v>152</v>
      </c>
      <c r="E13" t="s">
        <v>136</v>
      </c>
      <c r="F13" t="s">
        <v>6</v>
      </c>
      <c r="G13">
        <v>15</v>
      </c>
      <c r="H13" t="s">
        <v>158</v>
      </c>
      <c r="I13" s="4">
        <f>Tabelle_alle_Kennzahlen[[#This Row],[value (research)]]/1000*'2'!$E$58</f>
        <v>1.8045</v>
      </c>
      <c r="J13">
        <f>Tabelle_alle_Kennzahlen[[#This Row],[publication year]]</f>
        <v>2014</v>
      </c>
      <c r="K13" t="s">
        <v>139</v>
      </c>
      <c r="L13" t="s">
        <v>154</v>
      </c>
    </row>
    <row r="14" spans="1:18" x14ac:dyDescent="0.3">
      <c r="A14">
        <v>12</v>
      </c>
      <c r="B14" t="s">
        <v>55</v>
      </c>
      <c r="C14">
        <v>2006</v>
      </c>
      <c r="D14" t="s">
        <v>142</v>
      </c>
      <c r="E14" t="s">
        <v>134</v>
      </c>
      <c r="F14" t="s">
        <v>56</v>
      </c>
      <c r="G14">
        <v>737</v>
      </c>
      <c r="H14" t="s">
        <v>19</v>
      </c>
      <c r="I14" s="4">
        <f>Tabelle_alle_Kennzahlen[[#This Row],[value (research)]]/1000</f>
        <v>0.73699999999999999</v>
      </c>
      <c r="J14">
        <f>Tabelle_alle_Kennzahlen[[#This Row],[publication year]]</f>
        <v>2006</v>
      </c>
      <c r="K14" t="s">
        <v>89</v>
      </c>
      <c r="L14" t="s">
        <v>154</v>
      </c>
    </row>
    <row r="15" spans="1:18" x14ac:dyDescent="0.3">
      <c r="A15">
        <v>13</v>
      </c>
      <c r="B15" t="s">
        <v>55</v>
      </c>
      <c r="C15">
        <v>2006</v>
      </c>
      <c r="D15" t="s">
        <v>147</v>
      </c>
      <c r="E15" t="s">
        <v>134</v>
      </c>
      <c r="F15" t="s">
        <v>56</v>
      </c>
      <c r="G15">
        <v>856</v>
      </c>
      <c r="H15" t="s">
        <v>19</v>
      </c>
      <c r="I15" s="4">
        <f>Tabelle_alle_Kennzahlen[[#This Row],[value (research)]]/1000</f>
        <v>0.85599999999999998</v>
      </c>
      <c r="J15">
        <f>Tabelle_alle_Kennzahlen[[#This Row],[publication year]]</f>
        <v>2006</v>
      </c>
      <c r="K15" t="s">
        <v>89</v>
      </c>
      <c r="L15" t="s">
        <v>154</v>
      </c>
    </row>
    <row r="16" spans="1:18" x14ac:dyDescent="0.3">
      <c r="A16">
        <v>14</v>
      </c>
      <c r="B16" t="s">
        <v>55</v>
      </c>
      <c r="C16">
        <v>2006</v>
      </c>
      <c r="D16" t="s">
        <v>142</v>
      </c>
      <c r="E16" t="s">
        <v>168</v>
      </c>
      <c r="F16" t="s">
        <v>14</v>
      </c>
      <c r="G16">
        <v>43.7</v>
      </c>
      <c r="H16" t="s">
        <v>14</v>
      </c>
      <c r="I16" s="4">
        <f>Tabelle_alle_Kennzahlen[[#This Row],[value (research)]]</f>
        <v>43.7</v>
      </c>
      <c r="J16">
        <f>Tabelle_alle_Kennzahlen[[#This Row],[publication year]]</f>
        <v>2006</v>
      </c>
      <c r="K16" t="s">
        <v>89</v>
      </c>
      <c r="L16" t="s">
        <v>154</v>
      </c>
    </row>
    <row r="17" spans="1:12" x14ac:dyDescent="0.3">
      <c r="A17">
        <v>15</v>
      </c>
      <c r="B17" t="s">
        <v>55</v>
      </c>
      <c r="C17">
        <v>2006</v>
      </c>
      <c r="D17" t="s">
        <v>147</v>
      </c>
      <c r="E17" t="s">
        <v>168</v>
      </c>
      <c r="F17" t="s">
        <v>14</v>
      </c>
      <c r="G17">
        <v>41.8</v>
      </c>
      <c r="H17" t="s">
        <v>14</v>
      </c>
      <c r="I17" s="4">
        <f>Tabelle_alle_Kennzahlen[[#This Row],[value (research)]]</f>
        <v>41.8</v>
      </c>
      <c r="J17">
        <f>Tabelle_alle_Kennzahlen[[#This Row],[publication year]]</f>
        <v>2006</v>
      </c>
      <c r="K17" t="s">
        <v>89</v>
      </c>
      <c r="L17" t="s">
        <v>154</v>
      </c>
    </row>
    <row r="18" spans="1:12" x14ac:dyDescent="0.3">
      <c r="A18">
        <v>16</v>
      </c>
      <c r="B18" t="s">
        <v>55</v>
      </c>
      <c r="C18">
        <v>2006</v>
      </c>
      <c r="D18" t="s">
        <v>152</v>
      </c>
      <c r="E18" t="s">
        <v>168</v>
      </c>
      <c r="F18" t="s">
        <v>14</v>
      </c>
      <c r="G18" s="2">
        <v>121</v>
      </c>
      <c r="H18" t="s">
        <v>14</v>
      </c>
      <c r="I18" s="2">
        <f>Tabelle_alle_Kennzahlen[[#This Row],[value (research)]]</f>
        <v>121</v>
      </c>
      <c r="J18">
        <f>Tabelle_alle_Kennzahlen[[#This Row],[publication year]]</f>
        <v>2006</v>
      </c>
      <c r="K18" t="s">
        <v>89</v>
      </c>
      <c r="L18" t="s">
        <v>154</v>
      </c>
    </row>
    <row r="19" spans="1:12" x14ac:dyDescent="0.3">
      <c r="A19">
        <v>122</v>
      </c>
      <c r="B19" t="s">
        <v>48</v>
      </c>
      <c r="C19">
        <v>2014</v>
      </c>
      <c r="D19" t="s">
        <v>152</v>
      </c>
      <c r="E19" t="s">
        <v>136</v>
      </c>
      <c r="F19" t="s">
        <v>6</v>
      </c>
      <c r="G19">
        <v>15</v>
      </c>
      <c r="H19" t="s">
        <v>158</v>
      </c>
      <c r="I19" s="4">
        <f>Tabelle_alle_Kennzahlen[[#This Row],[value (research)]]/1000*'2'!$E$58</f>
        <v>1.8045</v>
      </c>
      <c r="J19">
        <f>Tabelle_alle_Kennzahlen[[#This Row],[publication year]]</f>
        <v>2014</v>
      </c>
      <c r="K19" t="s">
        <v>139</v>
      </c>
      <c r="L19" t="s">
        <v>154</v>
      </c>
    </row>
    <row r="20" spans="1:12" x14ac:dyDescent="0.3">
      <c r="A20">
        <v>18</v>
      </c>
      <c r="B20" t="s">
        <v>18</v>
      </c>
      <c r="C20">
        <v>2012</v>
      </c>
      <c r="D20" t="s">
        <v>142</v>
      </c>
      <c r="E20" t="s">
        <v>136</v>
      </c>
      <c r="F20" t="s">
        <v>6</v>
      </c>
      <c r="G20">
        <v>12.5</v>
      </c>
      <c r="H20" t="s">
        <v>158</v>
      </c>
      <c r="I20" s="13">
        <f>Tabelle_alle_Kennzahlen[[#This Row],[value (research)]]/1000*'2'!E4</f>
        <v>0.53721666666666668</v>
      </c>
      <c r="J20">
        <f>Tabelle_alle_Kennzahlen[[#This Row],[publication year]]</f>
        <v>2012</v>
      </c>
      <c r="K20" t="s">
        <v>89</v>
      </c>
      <c r="L20" t="s">
        <v>154</v>
      </c>
    </row>
    <row r="21" spans="1:12" x14ac:dyDescent="0.3">
      <c r="A21">
        <v>19</v>
      </c>
      <c r="B21" t="s">
        <v>22</v>
      </c>
      <c r="C21">
        <v>2012</v>
      </c>
      <c r="D21" t="s">
        <v>150</v>
      </c>
      <c r="E21" t="s">
        <v>136</v>
      </c>
      <c r="F21" t="s">
        <v>6</v>
      </c>
      <c r="G21">
        <v>14.5</v>
      </c>
      <c r="H21" t="s">
        <v>158</v>
      </c>
      <c r="I21" s="13">
        <f>Tabelle_alle_Kennzahlen[[#This Row],[value (research)]]/1000*'2'!E22</f>
        <v>0.68565027667219047</v>
      </c>
      <c r="J21">
        <f>Tabelle_alle_Kennzahlen[[#This Row],[publication year]]</f>
        <v>2012</v>
      </c>
      <c r="K21" t="s">
        <v>89</v>
      </c>
      <c r="L21" t="s">
        <v>154</v>
      </c>
    </row>
    <row r="22" spans="1:12" x14ac:dyDescent="0.3">
      <c r="A22">
        <v>20</v>
      </c>
      <c r="B22" t="s">
        <v>37</v>
      </c>
      <c r="C22">
        <v>2012</v>
      </c>
      <c r="D22" t="s">
        <v>147</v>
      </c>
      <c r="E22" t="s">
        <v>134</v>
      </c>
      <c r="F22" t="s">
        <v>35</v>
      </c>
      <c r="G22">
        <v>820</v>
      </c>
      <c r="H22" t="s">
        <v>19</v>
      </c>
      <c r="I22" s="4">
        <f>Tabelle_alle_Kennzahlen[[#This Row],[value (research)]]/1000</f>
        <v>0.82</v>
      </c>
      <c r="J22">
        <f>Tabelle_alle_Kennzahlen[[#This Row],[publication year]]</f>
        <v>2012</v>
      </c>
      <c r="K22" t="s">
        <v>89</v>
      </c>
      <c r="L22" t="s">
        <v>154</v>
      </c>
    </row>
    <row r="23" spans="1:12" x14ac:dyDescent="0.3">
      <c r="A23">
        <v>21</v>
      </c>
      <c r="B23" t="s">
        <v>37</v>
      </c>
      <c r="C23">
        <v>2012</v>
      </c>
      <c r="D23" t="s">
        <v>147</v>
      </c>
      <c r="E23" t="s">
        <v>134</v>
      </c>
      <c r="F23" t="s">
        <v>35</v>
      </c>
      <c r="G23">
        <v>845</v>
      </c>
      <c r="H23" t="s">
        <v>19</v>
      </c>
      <c r="I23" s="4">
        <f>Tabelle_alle_Kennzahlen[[#This Row],[value (research)]]/1000</f>
        <v>0.84499999999999997</v>
      </c>
      <c r="J23">
        <f>Tabelle_alle_Kennzahlen[[#This Row],[publication year]]</f>
        <v>2012</v>
      </c>
      <c r="K23" t="s">
        <v>89</v>
      </c>
      <c r="L23" t="s">
        <v>154</v>
      </c>
    </row>
    <row r="24" spans="1:12" x14ac:dyDescent="0.3">
      <c r="A24">
        <v>22</v>
      </c>
      <c r="B24" t="s">
        <v>37</v>
      </c>
      <c r="C24">
        <v>2012</v>
      </c>
      <c r="D24" t="s">
        <v>147</v>
      </c>
      <c r="E24" t="s">
        <v>168</v>
      </c>
      <c r="F24" t="s">
        <v>14</v>
      </c>
      <c r="G24">
        <v>42.8</v>
      </c>
      <c r="H24" t="s">
        <v>14</v>
      </c>
      <c r="I24" s="4">
        <f>Tabelle_alle_Kennzahlen[[#This Row],[value (research)]]</f>
        <v>42.8</v>
      </c>
      <c r="J24">
        <f>Tabelle_alle_Kennzahlen[[#This Row],[publication year]]</f>
        <v>2012</v>
      </c>
      <c r="K24" t="s">
        <v>89</v>
      </c>
      <c r="L24" t="s">
        <v>154</v>
      </c>
    </row>
    <row r="25" spans="1:12" x14ac:dyDescent="0.3">
      <c r="A25">
        <v>23</v>
      </c>
      <c r="B25" t="s">
        <v>37</v>
      </c>
      <c r="C25">
        <v>2012</v>
      </c>
      <c r="D25" t="s">
        <v>38</v>
      </c>
      <c r="E25" t="s">
        <v>134</v>
      </c>
      <c r="F25" t="s">
        <v>35</v>
      </c>
      <c r="G25">
        <v>780</v>
      </c>
      <c r="H25" t="s">
        <v>19</v>
      </c>
      <c r="I25" s="2">
        <f>Tabelle_alle_Kennzahlen[[#This Row],[value (research)]]/1000</f>
        <v>0.78</v>
      </c>
      <c r="J25">
        <f>Tabelle_alle_Kennzahlen[[#This Row],[publication year]]</f>
        <v>2012</v>
      </c>
      <c r="K25" t="s">
        <v>89</v>
      </c>
      <c r="L25" t="s">
        <v>154</v>
      </c>
    </row>
    <row r="26" spans="1:12" x14ac:dyDescent="0.3">
      <c r="A26">
        <v>24</v>
      </c>
      <c r="B26" t="s">
        <v>37</v>
      </c>
      <c r="C26">
        <v>2012</v>
      </c>
      <c r="D26" t="s">
        <v>38</v>
      </c>
      <c r="E26" t="s">
        <v>168</v>
      </c>
      <c r="F26" t="s">
        <v>14</v>
      </c>
      <c r="G26" s="2">
        <v>43.99</v>
      </c>
      <c r="H26" t="s">
        <v>14</v>
      </c>
      <c r="I26" s="2">
        <f>Tabelle_alle_Kennzahlen[[#This Row],[value (research)]]</f>
        <v>43.99</v>
      </c>
      <c r="J26">
        <f>Tabelle_alle_Kennzahlen[[#This Row],[publication year]]</f>
        <v>2012</v>
      </c>
      <c r="K26" t="s">
        <v>89</v>
      </c>
      <c r="L26" t="s">
        <v>154</v>
      </c>
    </row>
    <row r="27" spans="1:12" x14ac:dyDescent="0.3">
      <c r="A27">
        <v>25</v>
      </c>
      <c r="B27" t="s">
        <v>21</v>
      </c>
      <c r="C27">
        <v>2012</v>
      </c>
      <c r="D27" t="s">
        <v>142</v>
      </c>
      <c r="E27" t="s">
        <v>137</v>
      </c>
      <c r="F27" t="s">
        <v>6</v>
      </c>
      <c r="G27">
        <v>72.5</v>
      </c>
      <c r="H27" t="s">
        <v>4</v>
      </c>
      <c r="I27" s="74">
        <f>Tabelle_alle_Kennzahlen[[#This Row],[value (research)]]/10^6</f>
        <v>7.25E-5</v>
      </c>
      <c r="J27">
        <f>Tabelle_alle_Kennzahlen[[#This Row],[publication year]]</f>
        <v>2012</v>
      </c>
      <c r="K27" t="s">
        <v>89</v>
      </c>
      <c r="L27" t="s">
        <v>154</v>
      </c>
    </row>
    <row r="28" spans="1:12" x14ac:dyDescent="0.3">
      <c r="A28">
        <v>26</v>
      </c>
      <c r="B28" t="s">
        <v>18</v>
      </c>
      <c r="C28">
        <v>2012</v>
      </c>
      <c r="D28" t="s">
        <v>150</v>
      </c>
      <c r="E28" t="s">
        <v>137</v>
      </c>
      <c r="F28" t="s">
        <v>6</v>
      </c>
      <c r="G28">
        <v>58.4</v>
      </c>
      <c r="H28" t="s">
        <v>4</v>
      </c>
      <c r="I28" s="74">
        <f>Tabelle_alle_Kennzahlen[[#This Row],[value (research)]]/10^6</f>
        <v>5.8399999999999997E-5</v>
      </c>
      <c r="J28">
        <f>Tabelle_alle_Kennzahlen[[#This Row],[publication year]]</f>
        <v>2012</v>
      </c>
      <c r="K28" t="s">
        <v>89</v>
      </c>
      <c r="L28" t="s">
        <v>154</v>
      </c>
    </row>
    <row r="29" spans="1:12" x14ac:dyDescent="0.3">
      <c r="A29">
        <v>27</v>
      </c>
      <c r="B29" t="s">
        <v>12</v>
      </c>
      <c r="C29">
        <v>2012</v>
      </c>
      <c r="D29" t="s">
        <v>150</v>
      </c>
      <c r="E29" t="s">
        <v>137</v>
      </c>
      <c r="F29" t="s">
        <v>6</v>
      </c>
      <c r="G29">
        <v>56</v>
      </c>
      <c r="H29" t="s">
        <v>4</v>
      </c>
      <c r="I29" s="74">
        <f>Tabelle_alle_Kennzahlen[[#This Row],[value (research)]]/10^6</f>
        <v>5.5999999999999999E-5</v>
      </c>
      <c r="J29">
        <f>Tabelle_alle_Kennzahlen[[#This Row],[publication year]]</f>
        <v>2012</v>
      </c>
      <c r="K29" t="s">
        <v>89</v>
      </c>
      <c r="L29" t="s">
        <v>154</v>
      </c>
    </row>
    <row r="30" spans="1:12" x14ac:dyDescent="0.3">
      <c r="A30">
        <v>28</v>
      </c>
      <c r="B30" t="s">
        <v>15</v>
      </c>
      <c r="C30">
        <v>2013</v>
      </c>
      <c r="D30" t="s">
        <v>150</v>
      </c>
      <c r="E30" t="s">
        <v>136</v>
      </c>
      <c r="F30" t="s">
        <v>6</v>
      </c>
      <c r="G30">
        <v>17.3</v>
      </c>
      <c r="H30" t="s">
        <v>158</v>
      </c>
      <c r="I30" s="13">
        <f>Tabelle_alle_Kennzahlen[[#This Row],[value (research)]]/1000*'2'!E22</f>
        <v>0.81805170940888927</v>
      </c>
      <c r="J30">
        <f>Tabelle_alle_Kennzahlen[[#This Row],[publication year]]</f>
        <v>2013</v>
      </c>
      <c r="K30" t="s">
        <v>89</v>
      </c>
      <c r="L30" t="s">
        <v>154</v>
      </c>
    </row>
    <row r="31" spans="1:12" x14ac:dyDescent="0.3">
      <c r="A31">
        <v>29</v>
      </c>
      <c r="B31" t="s">
        <v>15</v>
      </c>
      <c r="C31">
        <v>2013</v>
      </c>
      <c r="D31" t="s">
        <v>151</v>
      </c>
      <c r="E31" t="s">
        <v>136</v>
      </c>
      <c r="F31" t="s">
        <v>6</v>
      </c>
      <c r="G31">
        <v>13.8</v>
      </c>
      <c r="H31" t="s">
        <v>158</v>
      </c>
      <c r="I31" s="13">
        <f>Tabelle_alle_Kennzahlen[[#This Row],[value (research)]]/1000*'2'!E22</f>
        <v>0.6525499184880158</v>
      </c>
      <c r="J31">
        <f>Tabelle_alle_Kennzahlen[[#This Row],[publication year]]</f>
        <v>2013</v>
      </c>
      <c r="K31" t="s">
        <v>89</v>
      </c>
      <c r="L31" t="s">
        <v>154</v>
      </c>
    </row>
    <row r="32" spans="1:12" x14ac:dyDescent="0.3">
      <c r="A32">
        <v>30</v>
      </c>
      <c r="B32" t="s">
        <v>29</v>
      </c>
      <c r="C32">
        <v>2013</v>
      </c>
      <c r="D32" t="s">
        <v>150</v>
      </c>
      <c r="E32" t="s">
        <v>168</v>
      </c>
      <c r="F32" t="s">
        <v>14</v>
      </c>
      <c r="G32">
        <v>43.725999999999999</v>
      </c>
      <c r="H32" t="s">
        <v>14</v>
      </c>
      <c r="I32" s="2">
        <f>Tabelle_alle_Kennzahlen[[#This Row],[value (research)]]</f>
        <v>43.725999999999999</v>
      </c>
      <c r="J32">
        <f>Tabelle_alle_Kennzahlen[[#This Row],[publication year]]</f>
        <v>2013</v>
      </c>
      <c r="K32" t="s">
        <v>89</v>
      </c>
      <c r="L32" t="s">
        <v>154</v>
      </c>
    </row>
    <row r="33" spans="1:12" x14ac:dyDescent="0.3">
      <c r="A33">
        <v>31</v>
      </c>
      <c r="B33" t="s">
        <v>29</v>
      </c>
      <c r="C33">
        <v>2013</v>
      </c>
      <c r="D33" t="s">
        <v>152</v>
      </c>
      <c r="E33" t="s">
        <v>168</v>
      </c>
      <c r="F33" t="s">
        <v>14</v>
      </c>
      <c r="G33" s="2">
        <v>119.93</v>
      </c>
      <c r="H33" t="s">
        <v>14</v>
      </c>
      <c r="I33" s="2">
        <f>Tabelle_alle_Kennzahlen[[#This Row],[value (research)]]</f>
        <v>119.93</v>
      </c>
      <c r="J33">
        <f>Tabelle_alle_Kennzahlen[[#This Row],[publication year]]</f>
        <v>2013</v>
      </c>
      <c r="K33" t="s">
        <v>89</v>
      </c>
      <c r="L33" t="s">
        <v>154</v>
      </c>
    </row>
    <row r="34" spans="1:12" ht="30" customHeight="1" x14ac:dyDescent="0.3">
      <c r="A34">
        <v>32</v>
      </c>
      <c r="B34" t="s">
        <v>159</v>
      </c>
      <c r="C34">
        <v>2014</v>
      </c>
      <c r="D34" t="s">
        <v>142</v>
      </c>
      <c r="E34" t="s">
        <v>168</v>
      </c>
      <c r="F34" t="s">
        <v>14</v>
      </c>
      <c r="G34">
        <v>42.61</v>
      </c>
      <c r="H34" t="s">
        <v>14</v>
      </c>
      <c r="I34" s="4">
        <f>Tabelle_alle_Kennzahlen[[#This Row],[value (research)]]</f>
        <v>42.61</v>
      </c>
      <c r="J34">
        <f>Tabelle_alle_Kennzahlen[[#This Row],[publication year]]</f>
        <v>2014</v>
      </c>
      <c r="K34" t="s">
        <v>89</v>
      </c>
      <c r="L34" t="s">
        <v>154</v>
      </c>
    </row>
    <row r="35" spans="1:12" x14ac:dyDescent="0.3">
      <c r="A35">
        <v>33</v>
      </c>
      <c r="B35" t="s">
        <v>159</v>
      </c>
      <c r="C35">
        <v>2014</v>
      </c>
      <c r="D35" t="s">
        <v>150</v>
      </c>
      <c r="E35" t="s">
        <v>168</v>
      </c>
      <c r="F35" t="s">
        <v>14</v>
      </c>
      <c r="G35">
        <v>49.23</v>
      </c>
      <c r="H35" t="s">
        <v>14</v>
      </c>
      <c r="I35" s="2">
        <f>Tabelle_alle_Kennzahlen[[#This Row],[value (research)]]</f>
        <v>49.23</v>
      </c>
      <c r="J35">
        <v>2003</v>
      </c>
      <c r="K35" t="s">
        <v>89</v>
      </c>
      <c r="L35" t="s">
        <v>154</v>
      </c>
    </row>
    <row r="36" spans="1:12" x14ac:dyDescent="0.3">
      <c r="A36">
        <v>34</v>
      </c>
      <c r="B36" t="s">
        <v>34</v>
      </c>
      <c r="C36">
        <v>2014</v>
      </c>
      <c r="D36" t="s">
        <v>148</v>
      </c>
      <c r="E36" t="s">
        <v>136</v>
      </c>
      <c r="F36" t="s">
        <v>160</v>
      </c>
      <c r="G36">
        <v>53</v>
      </c>
      <c r="H36" t="s">
        <v>158</v>
      </c>
      <c r="I36" s="32"/>
      <c r="J36">
        <f>Tabelle_alle_Kennzahlen[[#This Row],[publication year]]</f>
        <v>2014</v>
      </c>
      <c r="L36" t="s">
        <v>156</v>
      </c>
    </row>
    <row r="37" spans="1:12" x14ac:dyDescent="0.3">
      <c r="A37">
        <v>206</v>
      </c>
      <c r="B37" t="s">
        <v>66</v>
      </c>
      <c r="C37">
        <v>2006</v>
      </c>
      <c r="D37" t="s">
        <v>147</v>
      </c>
      <c r="E37" t="s">
        <v>136</v>
      </c>
      <c r="F37" t="s">
        <v>6</v>
      </c>
      <c r="G37">
        <v>3.3</v>
      </c>
      <c r="H37" t="s">
        <v>158</v>
      </c>
      <c r="I37" s="4">
        <f>Tabelle_alle_Kennzahlen[[#This Row],[value (research)]]/1000*'2'!E13</f>
        <v>0.14165433333333333</v>
      </c>
      <c r="J37">
        <f>Tabelle_alle_Kennzahlen[[#This Row],[publication year]]</f>
        <v>2006</v>
      </c>
      <c r="L37" t="s">
        <v>156</v>
      </c>
    </row>
    <row r="38" spans="1:12" x14ac:dyDescent="0.3">
      <c r="A38">
        <v>36</v>
      </c>
      <c r="B38" t="s">
        <v>34</v>
      </c>
      <c r="C38">
        <v>2014</v>
      </c>
      <c r="D38" t="s">
        <v>150</v>
      </c>
      <c r="E38" t="s">
        <v>136</v>
      </c>
      <c r="F38" t="s">
        <v>160</v>
      </c>
      <c r="G38">
        <v>58</v>
      </c>
      <c r="H38" t="s">
        <v>158</v>
      </c>
      <c r="I38" s="13">
        <f>Tabelle_alle_Kennzahlen[[#This Row],[value (research)]]*'1'!$G$10/3600</f>
        <v>0.19333333333333333</v>
      </c>
      <c r="J38">
        <f>Tabelle_alle_Kennzahlen[[#This Row],[publication year]]</f>
        <v>2014</v>
      </c>
      <c r="K38" t="s">
        <v>89</v>
      </c>
      <c r="L38" t="s">
        <v>154</v>
      </c>
    </row>
    <row r="39" spans="1:12" x14ac:dyDescent="0.3">
      <c r="A39">
        <v>37</v>
      </c>
      <c r="B39" t="s">
        <v>34</v>
      </c>
      <c r="C39">
        <v>2014</v>
      </c>
      <c r="D39" t="s">
        <v>153</v>
      </c>
      <c r="E39" t="s">
        <v>136</v>
      </c>
      <c r="F39" t="s">
        <v>160</v>
      </c>
      <c r="G39">
        <v>69</v>
      </c>
      <c r="H39" t="s">
        <v>158</v>
      </c>
      <c r="I39" s="32"/>
      <c r="J39">
        <f>Tabelle_alle_Kennzahlen[[#This Row],[publication year]]</f>
        <v>2014</v>
      </c>
      <c r="L39" t="s">
        <v>156</v>
      </c>
    </row>
    <row r="40" spans="1:12" x14ac:dyDescent="0.3">
      <c r="A40">
        <v>35</v>
      </c>
      <c r="B40" t="s">
        <v>34</v>
      </c>
      <c r="C40">
        <v>2014</v>
      </c>
      <c r="D40" t="s">
        <v>147</v>
      </c>
      <c r="E40" t="s">
        <v>136</v>
      </c>
      <c r="F40" t="s">
        <v>160</v>
      </c>
      <c r="G40">
        <v>45</v>
      </c>
      <c r="H40" t="s">
        <v>158</v>
      </c>
      <c r="I40" s="13">
        <f>Tabelle_alle_Kennzahlen[[#This Row],[value (research)]]*'2'!$E$13/3600</f>
        <v>0.53656944444444443</v>
      </c>
      <c r="J40">
        <f>Tabelle_alle_Kennzahlen[[#This Row],[publication year]]</f>
        <v>2014</v>
      </c>
      <c r="K40" t="s">
        <v>89</v>
      </c>
      <c r="L40" t="s">
        <v>154</v>
      </c>
    </row>
    <row r="41" spans="1:12" x14ac:dyDescent="0.3">
      <c r="A41">
        <v>39</v>
      </c>
      <c r="B41" t="s">
        <v>41</v>
      </c>
      <c r="C41">
        <v>2014</v>
      </c>
      <c r="D41" t="s">
        <v>142</v>
      </c>
      <c r="E41" t="s">
        <v>136</v>
      </c>
      <c r="F41" t="s">
        <v>6</v>
      </c>
      <c r="G41">
        <v>13.8</v>
      </c>
      <c r="H41" t="s">
        <v>158</v>
      </c>
      <c r="I41" s="4">
        <f>Tabelle_alle_Kennzahlen[[#This Row],[value (research)]]/1000*'2'!E4</f>
        <v>0.59308720000000004</v>
      </c>
      <c r="J41">
        <f>Tabelle_alle_Kennzahlen[[#This Row],[publication year]]</f>
        <v>2014</v>
      </c>
      <c r="K41" t="s">
        <v>89</v>
      </c>
      <c r="L41" t="s">
        <v>154</v>
      </c>
    </row>
    <row r="42" spans="1:12" x14ac:dyDescent="0.3">
      <c r="A42">
        <v>40</v>
      </c>
      <c r="B42" t="s">
        <v>90</v>
      </c>
      <c r="C42">
        <v>2014</v>
      </c>
      <c r="D42" t="s">
        <v>150</v>
      </c>
      <c r="E42" t="s">
        <v>136</v>
      </c>
      <c r="F42" t="s">
        <v>6</v>
      </c>
      <c r="G42">
        <v>13</v>
      </c>
      <c r="H42" t="s">
        <v>158</v>
      </c>
      <c r="I42" s="4">
        <f>Tabelle_alle_Kennzahlen[[#This Row],[value (research)]]/1000*'2'!$E$22</f>
        <v>0.61472093770610181</v>
      </c>
      <c r="J42">
        <f>Tabelle_alle_Kennzahlen[[#This Row],[publication year]]</f>
        <v>2014</v>
      </c>
      <c r="K42" t="s">
        <v>89</v>
      </c>
      <c r="L42" t="s">
        <v>154</v>
      </c>
    </row>
    <row r="43" spans="1:12" x14ac:dyDescent="0.3">
      <c r="A43">
        <v>41</v>
      </c>
      <c r="B43" t="s">
        <v>90</v>
      </c>
      <c r="C43">
        <v>2014</v>
      </c>
      <c r="D43" t="s">
        <v>150</v>
      </c>
      <c r="E43" t="s">
        <v>136</v>
      </c>
      <c r="F43" t="s">
        <v>6</v>
      </c>
      <c r="G43">
        <v>22.5</v>
      </c>
      <c r="H43" t="s">
        <v>158</v>
      </c>
      <c r="I43" s="4">
        <f>Tabelle_alle_Kennzahlen[[#This Row],[value (research)]]/1000*'2'!$E$22</f>
        <v>1.06394008449133</v>
      </c>
      <c r="J43">
        <f>Tabelle_alle_Kennzahlen[[#This Row],[publication year]]</f>
        <v>2014</v>
      </c>
      <c r="K43" t="s">
        <v>89</v>
      </c>
      <c r="L43" t="s">
        <v>154</v>
      </c>
    </row>
    <row r="44" spans="1:12" x14ac:dyDescent="0.3">
      <c r="A44">
        <v>42</v>
      </c>
      <c r="B44" t="s">
        <v>90</v>
      </c>
      <c r="C44">
        <v>2014</v>
      </c>
      <c r="D44" t="s">
        <v>150</v>
      </c>
      <c r="E44" t="s">
        <v>136</v>
      </c>
      <c r="F44" t="s">
        <v>6</v>
      </c>
      <c r="G44">
        <v>16</v>
      </c>
      <c r="H44" t="s">
        <v>158</v>
      </c>
      <c r="I44" s="4">
        <f>Tabelle_alle_Kennzahlen[[#This Row],[value (research)]]/1000*'2'!$E$22</f>
        <v>0.75657961563827913</v>
      </c>
      <c r="J44">
        <f>Tabelle_alle_Kennzahlen[[#This Row],[publication year]]</f>
        <v>2014</v>
      </c>
      <c r="K44" t="s">
        <v>89</v>
      </c>
      <c r="L44" t="s">
        <v>154</v>
      </c>
    </row>
    <row r="45" spans="1:12" x14ac:dyDescent="0.3">
      <c r="A45">
        <v>43</v>
      </c>
      <c r="B45" t="s">
        <v>90</v>
      </c>
      <c r="C45">
        <v>2014</v>
      </c>
      <c r="D45" t="s">
        <v>150</v>
      </c>
      <c r="E45" t="s">
        <v>136</v>
      </c>
      <c r="F45" t="s">
        <v>6</v>
      </c>
      <c r="G45">
        <v>21</v>
      </c>
      <c r="H45" t="s">
        <v>158</v>
      </c>
      <c r="I45" s="4">
        <f>Tabelle_alle_Kennzahlen[[#This Row],[value (research)]]/1000*'2'!$E$22</f>
        <v>0.99301074552524149</v>
      </c>
      <c r="J45">
        <f>Tabelle_alle_Kennzahlen[[#This Row],[publication year]]</f>
        <v>2014</v>
      </c>
      <c r="K45" t="s">
        <v>89</v>
      </c>
      <c r="L45" t="s">
        <v>154</v>
      </c>
    </row>
    <row r="46" spans="1:12" x14ac:dyDescent="0.3">
      <c r="A46">
        <v>44</v>
      </c>
      <c r="B46" t="s">
        <v>90</v>
      </c>
      <c r="C46">
        <v>2014</v>
      </c>
      <c r="D46" t="s">
        <v>150</v>
      </c>
      <c r="E46" t="s">
        <v>136</v>
      </c>
      <c r="F46" t="s">
        <v>6</v>
      </c>
      <c r="G46">
        <v>18</v>
      </c>
      <c r="H46" t="s">
        <v>158</v>
      </c>
      <c r="I46" s="4">
        <f>Tabelle_alle_Kennzahlen[[#This Row],[value (research)]]/1000*'2'!$E$22</f>
        <v>0.85115206759306394</v>
      </c>
      <c r="J46">
        <f>Tabelle_alle_Kennzahlen[[#This Row],[publication year]]</f>
        <v>2014</v>
      </c>
      <c r="K46" t="s">
        <v>89</v>
      </c>
      <c r="L46" t="s">
        <v>154</v>
      </c>
    </row>
    <row r="47" spans="1:12" x14ac:dyDescent="0.3">
      <c r="A47">
        <v>45</v>
      </c>
      <c r="B47" t="s">
        <v>90</v>
      </c>
      <c r="C47">
        <v>2014</v>
      </c>
      <c r="D47" t="s">
        <v>150</v>
      </c>
      <c r="E47" t="s">
        <v>136</v>
      </c>
      <c r="F47" t="s">
        <v>6</v>
      </c>
      <c r="G47">
        <v>21</v>
      </c>
      <c r="H47" t="s">
        <v>158</v>
      </c>
      <c r="I47" s="4">
        <f>Tabelle_alle_Kennzahlen[[#This Row],[value (research)]]/1000*'2'!$E$22</f>
        <v>0.99301074552524149</v>
      </c>
      <c r="J47">
        <f>Tabelle_alle_Kennzahlen[[#This Row],[publication year]]</f>
        <v>2014</v>
      </c>
      <c r="K47" t="s">
        <v>89</v>
      </c>
      <c r="L47" t="s">
        <v>154</v>
      </c>
    </row>
    <row r="48" spans="1:12" x14ac:dyDescent="0.3">
      <c r="A48">
        <v>46</v>
      </c>
      <c r="B48" t="s">
        <v>90</v>
      </c>
      <c r="C48">
        <v>2014</v>
      </c>
      <c r="D48" t="s">
        <v>150</v>
      </c>
      <c r="E48" t="s">
        <v>136</v>
      </c>
      <c r="F48" t="s">
        <v>6</v>
      </c>
      <c r="G48">
        <v>19</v>
      </c>
      <c r="H48" t="s">
        <v>158</v>
      </c>
      <c r="I48" s="4">
        <f>Tabelle_alle_Kennzahlen[[#This Row],[value (research)]]/1000*'2'!$E$22</f>
        <v>0.89843829357045646</v>
      </c>
      <c r="J48">
        <f>Tabelle_alle_Kennzahlen[[#This Row],[publication year]]</f>
        <v>2014</v>
      </c>
      <c r="K48" t="s">
        <v>89</v>
      </c>
      <c r="L48" t="s">
        <v>154</v>
      </c>
    </row>
    <row r="49" spans="1:12" x14ac:dyDescent="0.3">
      <c r="A49">
        <v>47</v>
      </c>
      <c r="B49" t="s">
        <v>41</v>
      </c>
      <c r="C49">
        <v>2014</v>
      </c>
      <c r="D49" t="s">
        <v>150</v>
      </c>
      <c r="E49" t="s">
        <v>136</v>
      </c>
      <c r="F49" t="s">
        <v>6</v>
      </c>
      <c r="G49">
        <v>7.5</v>
      </c>
      <c r="H49" t="s">
        <v>158</v>
      </c>
      <c r="I49" s="4">
        <f>Tabelle_alle_Kennzahlen[[#This Row],[value (research)]]/1000*'2'!$E$22</f>
        <v>0.35464669483044337</v>
      </c>
      <c r="J49">
        <f>Tabelle_alle_Kennzahlen[[#This Row],[publication year]]</f>
        <v>2014</v>
      </c>
      <c r="K49" t="s">
        <v>139</v>
      </c>
      <c r="L49" t="s">
        <v>154</v>
      </c>
    </row>
    <row r="50" spans="1:12" x14ac:dyDescent="0.3">
      <c r="A50">
        <v>48</v>
      </c>
      <c r="B50" t="s">
        <v>91</v>
      </c>
      <c r="C50">
        <v>2014</v>
      </c>
      <c r="D50" t="s">
        <v>151</v>
      </c>
      <c r="E50" t="s">
        <v>136</v>
      </c>
      <c r="F50" t="s">
        <v>6</v>
      </c>
      <c r="G50">
        <v>8</v>
      </c>
      <c r="H50" t="s">
        <v>158</v>
      </c>
      <c r="I50" s="4">
        <f>Tabelle_alle_Kennzahlen[[#This Row],[value (research)]]/1000*'2'!$E$31</f>
        <v>0.36791840000000003</v>
      </c>
      <c r="J50">
        <f>Tabelle_alle_Kennzahlen[[#This Row],[publication year]]</f>
        <v>2014</v>
      </c>
      <c r="K50" t="s">
        <v>89</v>
      </c>
      <c r="L50" t="s">
        <v>154</v>
      </c>
    </row>
    <row r="51" spans="1:12" x14ac:dyDescent="0.3">
      <c r="A51">
        <v>49</v>
      </c>
      <c r="B51" t="s">
        <v>42</v>
      </c>
      <c r="C51">
        <v>2014</v>
      </c>
      <c r="D51" t="s">
        <v>30</v>
      </c>
      <c r="E51" t="s">
        <v>136</v>
      </c>
      <c r="F51" t="s">
        <v>6</v>
      </c>
      <c r="G51">
        <v>40</v>
      </c>
      <c r="H51" t="s">
        <v>158</v>
      </c>
      <c r="I51" s="36">
        <f>Tabelle_alle_Kennzahlen[[#This Row],[value (research)]]/1000*'2'!$E$40</f>
        <v>1.0715000000000001</v>
      </c>
      <c r="J51">
        <f>Tabelle_alle_Kennzahlen[[#This Row],[publication year]]</f>
        <v>2014</v>
      </c>
      <c r="K51" t="s">
        <v>89</v>
      </c>
      <c r="L51" t="s">
        <v>154</v>
      </c>
    </row>
    <row r="52" spans="1:12" x14ac:dyDescent="0.3">
      <c r="A52">
        <v>50</v>
      </c>
      <c r="B52" t="s">
        <v>42</v>
      </c>
      <c r="C52">
        <v>2014</v>
      </c>
      <c r="D52" t="s">
        <v>30</v>
      </c>
      <c r="E52" t="s">
        <v>136</v>
      </c>
      <c r="F52" t="s">
        <v>6</v>
      </c>
      <c r="G52">
        <v>25</v>
      </c>
      <c r="H52" t="s">
        <v>158</v>
      </c>
      <c r="I52" s="36">
        <f>Tabelle_alle_Kennzahlen[[#This Row],[value (research)]]/1000*'2'!$E$40</f>
        <v>0.6696875000000001</v>
      </c>
      <c r="J52">
        <f>Tabelle_alle_Kennzahlen[[#This Row],[publication year]]</f>
        <v>2014</v>
      </c>
      <c r="K52" t="s">
        <v>89</v>
      </c>
      <c r="L52" t="s">
        <v>154</v>
      </c>
    </row>
    <row r="53" spans="1:12" x14ac:dyDescent="0.3">
      <c r="A53">
        <v>51</v>
      </c>
      <c r="B53" t="s">
        <v>42</v>
      </c>
      <c r="C53">
        <v>2014</v>
      </c>
      <c r="D53" t="s">
        <v>30</v>
      </c>
      <c r="E53" t="s">
        <v>136</v>
      </c>
      <c r="F53" t="s">
        <v>6</v>
      </c>
      <c r="G53">
        <v>22</v>
      </c>
      <c r="H53" t="s">
        <v>158</v>
      </c>
      <c r="I53" s="36">
        <f>Tabelle_alle_Kennzahlen[[#This Row],[value (research)]]/1000*'2'!$E$40</f>
        <v>0.58932499999999999</v>
      </c>
      <c r="J53">
        <f>Tabelle_alle_Kennzahlen[[#This Row],[publication year]]</f>
        <v>2014</v>
      </c>
      <c r="K53" t="s">
        <v>89</v>
      </c>
      <c r="L53" t="s">
        <v>154</v>
      </c>
    </row>
    <row r="54" spans="1:12" x14ac:dyDescent="0.3">
      <c r="A54">
        <v>52</v>
      </c>
      <c r="B54" t="s">
        <v>42</v>
      </c>
      <c r="C54">
        <v>2014</v>
      </c>
      <c r="D54" t="s">
        <v>30</v>
      </c>
      <c r="E54" t="s">
        <v>136</v>
      </c>
      <c r="F54" t="s">
        <v>6</v>
      </c>
      <c r="G54">
        <v>70</v>
      </c>
      <c r="H54" t="s">
        <v>158</v>
      </c>
      <c r="I54" s="36">
        <f>Tabelle_alle_Kennzahlen[[#This Row],[value (research)]]/1000*'2'!$E$40</f>
        <v>1.8751250000000004</v>
      </c>
      <c r="J54">
        <f>Tabelle_alle_Kennzahlen[[#This Row],[publication year]]</f>
        <v>2014</v>
      </c>
      <c r="K54" t="s">
        <v>89</v>
      </c>
      <c r="L54" t="s">
        <v>154</v>
      </c>
    </row>
    <row r="55" spans="1:12" x14ac:dyDescent="0.3">
      <c r="A55">
        <v>53</v>
      </c>
      <c r="B55" t="s">
        <v>42</v>
      </c>
      <c r="C55">
        <v>2014</v>
      </c>
      <c r="D55" t="s">
        <v>30</v>
      </c>
      <c r="E55" t="s">
        <v>136</v>
      </c>
      <c r="F55" t="s">
        <v>6</v>
      </c>
      <c r="G55">
        <v>58</v>
      </c>
      <c r="H55" t="s">
        <v>158</v>
      </c>
      <c r="I55" s="36">
        <f>Tabelle_alle_Kennzahlen[[#This Row],[value (research)]]/1000*'2'!$E$40</f>
        <v>1.5536750000000001</v>
      </c>
      <c r="J55">
        <f>Tabelle_alle_Kennzahlen[[#This Row],[publication year]]</f>
        <v>2014</v>
      </c>
      <c r="K55" t="s">
        <v>89</v>
      </c>
      <c r="L55" t="s">
        <v>154</v>
      </c>
    </row>
    <row r="56" spans="1:12" x14ac:dyDescent="0.3">
      <c r="A56">
        <v>54</v>
      </c>
      <c r="B56" t="s">
        <v>42</v>
      </c>
      <c r="C56">
        <v>2014</v>
      </c>
      <c r="D56" t="s">
        <v>30</v>
      </c>
      <c r="E56" t="s">
        <v>136</v>
      </c>
      <c r="F56" t="s">
        <v>6</v>
      </c>
      <c r="G56">
        <v>63</v>
      </c>
      <c r="H56" t="s">
        <v>158</v>
      </c>
      <c r="I56" s="36">
        <f>Tabelle_alle_Kennzahlen[[#This Row],[value (research)]]/1000*'2'!$E$40</f>
        <v>1.6876125000000002</v>
      </c>
      <c r="J56">
        <f>Tabelle_alle_Kennzahlen[[#This Row],[publication year]]</f>
        <v>2014</v>
      </c>
      <c r="K56" t="s">
        <v>89</v>
      </c>
      <c r="L56" t="s">
        <v>154</v>
      </c>
    </row>
    <row r="57" spans="1:12" x14ac:dyDescent="0.3">
      <c r="A57">
        <v>55</v>
      </c>
      <c r="B57" t="s">
        <v>42</v>
      </c>
      <c r="C57">
        <v>2014</v>
      </c>
      <c r="D57" t="s">
        <v>30</v>
      </c>
      <c r="E57" t="s">
        <v>136</v>
      </c>
      <c r="F57" t="s">
        <v>6</v>
      </c>
      <c r="G57">
        <v>55</v>
      </c>
      <c r="H57" t="s">
        <v>158</v>
      </c>
      <c r="I57" s="36">
        <f>Tabelle_alle_Kennzahlen[[#This Row],[value (research)]]/1000*'2'!$E$40</f>
        <v>1.4733125</v>
      </c>
      <c r="J57">
        <f>Tabelle_alle_Kennzahlen[[#This Row],[publication year]]</f>
        <v>2014</v>
      </c>
      <c r="K57" t="s">
        <v>89</v>
      </c>
      <c r="L57" t="s">
        <v>154</v>
      </c>
    </row>
    <row r="58" spans="1:12" x14ac:dyDescent="0.3">
      <c r="A58">
        <v>56</v>
      </c>
      <c r="B58" t="s">
        <v>42</v>
      </c>
      <c r="C58">
        <v>2014</v>
      </c>
      <c r="D58" t="s">
        <v>30</v>
      </c>
      <c r="E58" t="s">
        <v>136</v>
      </c>
      <c r="F58" t="s">
        <v>6</v>
      </c>
      <c r="G58">
        <v>85</v>
      </c>
      <c r="H58" t="s">
        <v>158</v>
      </c>
      <c r="I58" s="36">
        <f>Tabelle_alle_Kennzahlen[[#This Row],[value (research)]]/1000*'2'!$E$40</f>
        <v>2.2769375000000003</v>
      </c>
      <c r="J58">
        <f>Tabelle_alle_Kennzahlen[[#This Row],[publication year]]</f>
        <v>2014</v>
      </c>
      <c r="K58" t="s">
        <v>89</v>
      </c>
      <c r="L58" t="s">
        <v>154</v>
      </c>
    </row>
    <row r="59" spans="1:12" x14ac:dyDescent="0.3">
      <c r="A59">
        <v>57</v>
      </c>
      <c r="B59" t="s">
        <v>42</v>
      </c>
      <c r="C59">
        <v>2014</v>
      </c>
      <c r="D59" t="s">
        <v>30</v>
      </c>
      <c r="E59" t="s">
        <v>136</v>
      </c>
      <c r="F59" t="s">
        <v>6</v>
      </c>
      <c r="G59">
        <v>75</v>
      </c>
      <c r="H59" t="s">
        <v>158</v>
      </c>
      <c r="I59" s="36">
        <f>Tabelle_alle_Kennzahlen[[#This Row],[value (research)]]/1000*'2'!$E$40</f>
        <v>2.0090625000000002</v>
      </c>
      <c r="J59">
        <f>Tabelle_alle_Kennzahlen[[#This Row],[publication year]]</f>
        <v>2014</v>
      </c>
      <c r="K59" t="s">
        <v>89</v>
      </c>
      <c r="L59" t="s">
        <v>154</v>
      </c>
    </row>
    <row r="60" spans="1:12" x14ac:dyDescent="0.3">
      <c r="A60">
        <v>58</v>
      </c>
      <c r="B60" t="s">
        <v>42</v>
      </c>
      <c r="C60">
        <v>2014</v>
      </c>
      <c r="D60" t="s">
        <v>30</v>
      </c>
      <c r="E60" t="s">
        <v>136</v>
      </c>
      <c r="F60" t="s">
        <v>6</v>
      </c>
      <c r="G60">
        <v>53</v>
      </c>
      <c r="H60" t="s">
        <v>158</v>
      </c>
      <c r="I60" s="36">
        <f>Tabelle_alle_Kennzahlen[[#This Row],[value (research)]]/1000*'2'!$E$40</f>
        <v>1.4197375000000001</v>
      </c>
      <c r="J60">
        <f>Tabelle_alle_Kennzahlen[[#This Row],[publication year]]</f>
        <v>2014</v>
      </c>
      <c r="K60" t="s">
        <v>89</v>
      </c>
      <c r="L60" t="s">
        <v>154</v>
      </c>
    </row>
    <row r="61" spans="1:12" x14ac:dyDescent="0.3">
      <c r="A61">
        <v>59</v>
      </c>
      <c r="B61" t="s">
        <v>42</v>
      </c>
      <c r="C61">
        <v>2014</v>
      </c>
      <c r="D61" t="s">
        <v>30</v>
      </c>
      <c r="E61" t="s">
        <v>136</v>
      </c>
      <c r="F61" t="s">
        <v>6</v>
      </c>
      <c r="G61">
        <v>53</v>
      </c>
      <c r="H61" t="s">
        <v>158</v>
      </c>
      <c r="I61" s="36">
        <f>Tabelle_alle_Kennzahlen[[#This Row],[value (research)]]/1000*'2'!$E$40</f>
        <v>1.4197375000000001</v>
      </c>
      <c r="J61">
        <f>Tabelle_alle_Kennzahlen[[#This Row],[publication year]]</f>
        <v>2014</v>
      </c>
      <c r="K61" t="s">
        <v>89</v>
      </c>
      <c r="L61" t="s">
        <v>154</v>
      </c>
    </row>
    <row r="62" spans="1:12" x14ac:dyDescent="0.3">
      <c r="A62">
        <v>60</v>
      </c>
      <c r="B62" t="s">
        <v>42</v>
      </c>
      <c r="C62">
        <v>2014</v>
      </c>
      <c r="D62" t="s">
        <v>30</v>
      </c>
      <c r="E62" t="s">
        <v>136</v>
      </c>
      <c r="F62" t="s">
        <v>6</v>
      </c>
      <c r="G62">
        <v>53</v>
      </c>
      <c r="H62" t="s">
        <v>158</v>
      </c>
      <c r="I62" s="36">
        <f>Tabelle_alle_Kennzahlen[[#This Row],[value (research)]]/1000*'2'!$E$40</f>
        <v>1.4197375000000001</v>
      </c>
      <c r="J62">
        <f>Tabelle_alle_Kennzahlen[[#This Row],[publication year]]</f>
        <v>2014</v>
      </c>
      <c r="K62" t="s">
        <v>89</v>
      </c>
      <c r="L62" t="s">
        <v>154</v>
      </c>
    </row>
    <row r="63" spans="1:12" x14ac:dyDescent="0.3">
      <c r="A63">
        <v>61</v>
      </c>
      <c r="B63" t="s">
        <v>42</v>
      </c>
      <c r="C63">
        <v>2014</v>
      </c>
      <c r="D63" t="s">
        <v>30</v>
      </c>
      <c r="E63" t="s">
        <v>136</v>
      </c>
      <c r="F63" t="s">
        <v>6</v>
      </c>
      <c r="G63">
        <v>75</v>
      </c>
      <c r="H63" t="s">
        <v>158</v>
      </c>
      <c r="I63" s="36">
        <f>Tabelle_alle_Kennzahlen[[#This Row],[value (research)]]/1000*'2'!$E$40</f>
        <v>2.0090625000000002</v>
      </c>
      <c r="J63">
        <f>Tabelle_alle_Kennzahlen[[#This Row],[publication year]]</f>
        <v>2014</v>
      </c>
      <c r="K63" t="s">
        <v>89</v>
      </c>
      <c r="L63" t="s">
        <v>154</v>
      </c>
    </row>
    <row r="64" spans="1:12" x14ac:dyDescent="0.3">
      <c r="A64">
        <v>62</v>
      </c>
      <c r="B64" t="s">
        <v>42</v>
      </c>
      <c r="C64">
        <v>2014</v>
      </c>
      <c r="D64" t="s">
        <v>30</v>
      </c>
      <c r="E64" t="s">
        <v>136</v>
      </c>
      <c r="F64" t="s">
        <v>6</v>
      </c>
      <c r="G64">
        <v>80</v>
      </c>
      <c r="H64" t="s">
        <v>158</v>
      </c>
      <c r="I64" s="36">
        <f>Tabelle_alle_Kennzahlen[[#This Row],[value (research)]]/1000*'2'!$E$40</f>
        <v>2.1430000000000002</v>
      </c>
      <c r="J64">
        <f>Tabelle_alle_Kennzahlen[[#This Row],[publication year]]</f>
        <v>2014</v>
      </c>
      <c r="K64" t="s">
        <v>89</v>
      </c>
      <c r="L64" t="s">
        <v>156</v>
      </c>
    </row>
    <row r="65" spans="1:12" x14ac:dyDescent="0.3">
      <c r="A65">
        <v>63</v>
      </c>
      <c r="B65" t="s">
        <v>42</v>
      </c>
      <c r="C65">
        <v>2014</v>
      </c>
      <c r="D65" t="s">
        <v>30</v>
      </c>
      <c r="E65" t="s">
        <v>136</v>
      </c>
      <c r="F65" t="s">
        <v>6</v>
      </c>
      <c r="G65">
        <v>69</v>
      </c>
      <c r="H65" t="s">
        <v>158</v>
      </c>
      <c r="I65" s="36">
        <f>Tabelle_alle_Kennzahlen[[#This Row],[value (research)]]/1000*'2'!$E$40</f>
        <v>1.8483375000000002</v>
      </c>
      <c r="J65">
        <f>Tabelle_alle_Kennzahlen[[#This Row],[publication year]]</f>
        <v>2014</v>
      </c>
      <c r="K65" t="s">
        <v>89</v>
      </c>
      <c r="L65" t="s">
        <v>156</v>
      </c>
    </row>
    <row r="66" spans="1:12" x14ac:dyDescent="0.3">
      <c r="A66">
        <v>64</v>
      </c>
      <c r="B66" t="s">
        <v>42</v>
      </c>
      <c r="C66">
        <v>2014</v>
      </c>
      <c r="D66" t="s">
        <v>30</v>
      </c>
      <c r="E66" t="s">
        <v>136</v>
      </c>
      <c r="F66" t="s">
        <v>6</v>
      </c>
      <c r="G66">
        <v>27</v>
      </c>
      <c r="H66" t="s">
        <v>158</v>
      </c>
      <c r="I66" s="36">
        <f>Tabelle_alle_Kennzahlen[[#This Row],[value (research)]]/1000*'2'!$E$40</f>
        <v>0.72326250000000003</v>
      </c>
      <c r="J66">
        <f>Tabelle_alle_Kennzahlen[[#This Row],[publication year]]</f>
        <v>2014</v>
      </c>
      <c r="K66" t="s">
        <v>139</v>
      </c>
      <c r="L66" t="s">
        <v>154</v>
      </c>
    </row>
    <row r="67" spans="1:12" x14ac:dyDescent="0.3">
      <c r="A67">
        <v>65</v>
      </c>
      <c r="B67" t="s">
        <v>42</v>
      </c>
      <c r="C67">
        <v>2014</v>
      </c>
      <c r="D67" t="s">
        <v>30</v>
      </c>
      <c r="E67" t="s">
        <v>136</v>
      </c>
      <c r="F67" t="s">
        <v>6</v>
      </c>
      <c r="G67">
        <v>22</v>
      </c>
      <c r="H67" t="s">
        <v>158</v>
      </c>
      <c r="I67" s="36">
        <f>Tabelle_alle_Kennzahlen[[#This Row],[value (research)]]/1000*'2'!$E$40</f>
        <v>0.58932499999999999</v>
      </c>
      <c r="J67">
        <f>Tabelle_alle_Kennzahlen[[#This Row],[publication year]]</f>
        <v>2014</v>
      </c>
      <c r="K67" t="s">
        <v>139</v>
      </c>
      <c r="L67" t="s">
        <v>156</v>
      </c>
    </row>
    <row r="68" spans="1:12" x14ac:dyDescent="0.3">
      <c r="A68">
        <v>66</v>
      </c>
      <c r="B68" t="s">
        <v>42</v>
      </c>
      <c r="C68">
        <v>2014</v>
      </c>
      <c r="D68" t="s">
        <v>30</v>
      </c>
      <c r="E68" t="s">
        <v>136</v>
      </c>
      <c r="F68" t="s">
        <v>6</v>
      </c>
      <c r="G68">
        <v>19</v>
      </c>
      <c r="H68" t="s">
        <v>158</v>
      </c>
      <c r="I68" s="36">
        <f>Tabelle_alle_Kennzahlen[[#This Row],[value (research)]]/1000*'2'!$E$40</f>
        <v>0.50896249999999998</v>
      </c>
      <c r="J68">
        <f>Tabelle_alle_Kennzahlen[[#This Row],[publication year]]</f>
        <v>2014</v>
      </c>
      <c r="K68" t="s">
        <v>139</v>
      </c>
      <c r="L68" t="s">
        <v>156</v>
      </c>
    </row>
    <row r="69" spans="1:12" x14ac:dyDescent="0.3">
      <c r="A69">
        <v>67</v>
      </c>
      <c r="B69" t="s">
        <v>42</v>
      </c>
      <c r="C69">
        <v>2014</v>
      </c>
      <c r="D69" t="s">
        <v>30</v>
      </c>
      <c r="E69" t="s">
        <v>136</v>
      </c>
      <c r="F69" t="s">
        <v>6</v>
      </c>
      <c r="G69">
        <v>9</v>
      </c>
      <c r="H69" t="s">
        <v>158</v>
      </c>
      <c r="I69" s="36">
        <f>Tabelle_alle_Kennzahlen[[#This Row],[value (research)]]/1000*'2'!$E$40</f>
        <v>0.24108749999999998</v>
      </c>
      <c r="J69">
        <f>Tabelle_alle_Kennzahlen[[#This Row],[publication year]]</f>
        <v>2014</v>
      </c>
      <c r="K69" t="s">
        <v>139</v>
      </c>
      <c r="L69" t="s">
        <v>154</v>
      </c>
    </row>
    <row r="70" spans="1:12" x14ac:dyDescent="0.3">
      <c r="A70">
        <v>68</v>
      </c>
      <c r="B70" t="s">
        <v>43</v>
      </c>
      <c r="C70">
        <v>2014</v>
      </c>
      <c r="D70" t="s">
        <v>1</v>
      </c>
      <c r="E70" t="s">
        <v>136</v>
      </c>
      <c r="F70" t="s">
        <v>6</v>
      </c>
      <c r="G70">
        <v>60</v>
      </c>
      <c r="H70" t="s">
        <v>158</v>
      </c>
      <c r="I70" s="36">
        <f>Tabelle_alle_Kennzahlen[[#This Row],[value (research)]]/1000*'2'!$E$49</f>
        <v>2.2345199999999998</v>
      </c>
      <c r="J70">
        <f>Tabelle_alle_Kennzahlen[[#This Row],[publication year]]</f>
        <v>2014</v>
      </c>
      <c r="K70" t="s">
        <v>89</v>
      </c>
      <c r="L70" t="s">
        <v>154</v>
      </c>
    </row>
    <row r="71" spans="1:12" x14ac:dyDescent="0.3">
      <c r="A71">
        <v>69</v>
      </c>
      <c r="B71" t="s">
        <v>43</v>
      </c>
      <c r="C71">
        <v>2014</v>
      </c>
      <c r="D71" t="s">
        <v>1</v>
      </c>
      <c r="E71" t="s">
        <v>136</v>
      </c>
      <c r="F71" t="s">
        <v>6</v>
      </c>
      <c r="G71">
        <v>60</v>
      </c>
      <c r="H71" t="s">
        <v>158</v>
      </c>
      <c r="I71" s="36">
        <f>Tabelle_alle_Kennzahlen[[#This Row],[value (research)]]/1000*'2'!$E$49</f>
        <v>2.2345199999999998</v>
      </c>
      <c r="J71">
        <f>Tabelle_alle_Kennzahlen[[#This Row],[publication year]]</f>
        <v>2014</v>
      </c>
      <c r="K71" t="s">
        <v>89</v>
      </c>
      <c r="L71" t="s">
        <v>154</v>
      </c>
    </row>
    <row r="72" spans="1:12" x14ac:dyDescent="0.3">
      <c r="A72">
        <v>70</v>
      </c>
      <c r="B72" t="s">
        <v>43</v>
      </c>
      <c r="C72">
        <v>2014</v>
      </c>
      <c r="D72" t="s">
        <v>1</v>
      </c>
      <c r="E72" t="s">
        <v>136</v>
      </c>
      <c r="F72" t="s">
        <v>6</v>
      </c>
      <c r="G72">
        <v>60</v>
      </c>
      <c r="H72" t="s">
        <v>158</v>
      </c>
      <c r="I72" s="36">
        <f>Tabelle_alle_Kennzahlen[[#This Row],[value (research)]]/1000*'2'!$E$49</f>
        <v>2.2345199999999998</v>
      </c>
      <c r="J72">
        <f>Tabelle_alle_Kennzahlen[[#This Row],[publication year]]</f>
        <v>2014</v>
      </c>
      <c r="K72" t="s">
        <v>89</v>
      </c>
      <c r="L72" t="s">
        <v>154</v>
      </c>
    </row>
    <row r="73" spans="1:12" x14ac:dyDescent="0.3">
      <c r="A73">
        <v>71</v>
      </c>
      <c r="B73" t="s">
        <v>43</v>
      </c>
      <c r="C73">
        <v>2014</v>
      </c>
      <c r="D73" t="s">
        <v>1</v>
      </c>
      <c r="E73" t="s">
        <v>136</v>
      </c>
      <c r="F73" t="s">
        <v>6</v>
      </c>
      <c r="G73">
        <v>60</v>
      </c>
      <c r="H73" t="s">
        <v>158</v>
      </c>
      <c r="I73" s="36">
        <f>Tabelle_alle_Kennzahlen[[#This Row],[value (research)]]/1000*'2'!$E$49</f>
        <v>2.2345199999999998</v>
      </c>
      <c r="J73">
        <f>Tabelle_alle_Kennzahlen[[#This Row],[publication year]]</f>
        <v>2014</v>
      </c>
      <c r="K73" t="s">
        <v>89</v>
      </c>
      <c r="L73" t="s">
        <v>154</v>
      </c>
    </row>
    <row r="74" spans="1:12" x14ac:dyDescent="0.3">
      <c r="A74">
        <v>72</v>
      </c>
      <c r="B74" t="s">
        <v>43</v>
      </c>
      <c r="C74">
        <v>2014</v>
      </c>
      <c r="D74" t="s">
        <v>1</v>
      </c>
      <c r="E74" t="s">
        <v>136</v>
      </c>
      <c r="F74" t="s">
        <v>6</v>
      </c>
      <c r="G74">
        <v>60</v>
      </c>
      <c r="H74" t="s">
        <v>158</v>
      </c>
      <c r="I74" s="36">
        <f>Tabelle_alle_Kennzahlen[[#This Row],[value (research)]]/1000*'2'!$E$49</f>
        <v>2.2345199999999998</v>
      </c>
      <c r="J74">
        <f>Tabelle_alle_Kennzahlen[[#This Row],[publication year]]</f>
        <v>2014</v>
      </c>
      <c r="K74" t="s">
        <v>89</v>
      </c>
      <c r="L74" t="s">
        <v>154</v>
      </c>
    </row>
    <row r="75" spans="1:12" x14ac:dyDescent="0.3">
      <c r="A75">
        <v>73</v>
      </c>
      <c r="B75" t="s">
        <v>43</v>
      </c>
      <c r="C75">
        <v>2014</v>
      </c>
      <c r="D75" t="s">
        <v>1</v>
      </c>
      <c r="E75" t="s">
        <v>136</v>
      </c>
      <c r="F75" t="s">
        <v>6</v>
      </c>
      <c r="G75">
        <v>55</v>
      </c>
      <c r="H75" t="s">
        <v>158</v>
      </c>
      <c r="I75" s="36">
        <f>Tabelle_alle_Kennzahlen[[#This Row],[value (research)]]/1000*'2'!$E$49</f>
        <v>2.0483099999999999</v>
      </c>
      <c r="J75">
        <f>Tabelle_alle_Kennzahlen[[#This Row],[publication year]]</f>
        <v>2014</v>
      </c>
      <c r="K75" t="s">
        <v>89</v>
      </c>
      <c r="L75" t="s">
        <v>156</v>
      </c>
    </row>
    <row r="76" spans="1:12" x14ac:dyDescent="0.3">
      <c r="A76">
        <v>74</v>
      </c>
      <c r="B76" t="s">
        <v>43</v>
      </c>
      <c r="C76">
        <v>2014</v>
      </c>
      <c r="D76" t="s">
        <v>1</v>
      </c>
      <c r="E76" t="s">
        <v>136</v>
      </c>
      <c r="F76" t="s">
        <v>6</v>
      </c>
      <c r="G76">
        <v>45</v>
      </c>
      <c r="H76" t="s">
        <v>158</v>
      </c>
      <c r="I76" s="36">
        <f>Tabelle_alle_Kennzahlen[[#This Row],[value (research)]]/1000*'2'!$E$49</f>
        <v>1.6758899999999999</v>
      </c>
      <c r="J76">
        <f>Tabelle_alle_Kennzahlen[[#This Row],[publication year]]</f>
        <v>2014</v>
      </c>
      <c r="K76" t="s">
        <v>89</v>
      </c>
      <c r="L76" t="s">
        <v>156</v>
      </c>
    </row>
    <row r="77" spans="1:12" x14ac:dyDescent="0.3">
      <c r="A77">
        <v>75</v>
      </c>
      <c r="B77" t="s">
        <v>43</v>
      </c>
      <c r="C77">
        <v>2014</v>
      </c>
      <c r="D77" t="s">
        <v>1</v>
      </c>
      <c r="E77" t="s">
        <v>136</v>
      </c>
      <c r="F77" t="s">
        <v>6</v>
      </c>
      <c r="G77">
        <v>70</v>
      </c>
      <c r="H77" t="s">
        <v>158</v>
      </c>
      <c r="I77" s="36">
        <f>Tabelle_alle_Kennzahlen[[#This Row],[value (research)]]/1000*'2'!$E$49</f>
        <v>2.6069400000000003</v>
      </c>
      <c r="J77">
        <f>Tabelle_alle_Kennzahlen[[#This Row],[publication year]]</f>
        <v>2014</v>
      </c>
      <c r="K77" t="s">
        <v>89</v>
      </c>
      <c r="L77" t="s">
        <v>156</v>
      </c>
    </row>
    <row r="78" spans="1:12" x14ac:dyDescent="0.3">
      <c r="A78">
        <v>76</v>
      </c>
      <c r="B78" t="s">
        <v>43</v>
      </c>
      <c r="C78">
        <v>2014</v>
      </c>
      <c r="D78" t="s">
        <v>1</v>
      </c>
      <c r="E78" t="s">
        <v>136</v>
      </c>
      <c r="F78" t="s">
        <v>6</v>
      </c>
      <c r="G78">
        <v>82</v>
      </c>
      <c r="H78" t="s">
        <v>158</v>
      </c>
      <c r="I78" s="36">
        <f>Tabelle_alle_Kennzahlen[[#This Row],[value (research)]]/1000*'2'!$E$49</f>
        <v>3.0538439999999998</v>
      </c>
      <c r="J78">
        <f>Tabelle_alle_Kennzahlen[[#This Row],[publication year]]</f>
        <v>2014</v>
      </c>
      <c r="K78" t="s">
        <v>89</v>
      </c>
      <c r="L78" t="s">
        <v>156</v>
      </c>
    </row>
    <row r="79" spans="1:12" x14ac:dyDescent="0.3">
      <c r="A79">
        <v>77</v>
      </c>
      <c r="B79" t="s">
        <v>43</v>
      </c>
      <c r="C79">
        <v>2014</v>
      </c>
      <c r="D79" t="s">
        <v>1</v>
      </c>
      <c r="E79" t="s">
        <v>136</v>
      </c>
      <c r="F79" t="s">
        <v>6</v>
      </c>
      <c r="G79">
        <v>75</v>
      </c>
      <c r="H79" t="s">
        <v>158</v>
      </c>
      <c r="I79" s="36">
        <f>Tabelle_alle_Kennzahlen[[#This Row],[value (research)]]/1000*'2'!$E$49</f>
        <v>2.7931499999999998</v>
      </c>
      <c r="J79">
        <f>Tabelle_alle_Kennzahlen[[#This Row],[publication year]]</f>
        <v>2014</v>
      </c>
      <c r="K79" t="s">
        <v>89</v>
      </c>
      <c r="L79" t="s">
        <v>156</v>
      </c>
    </row>
    <row r="80" spans="1:12" x14ac:dyDescent="0.3">
      <c r="A80">
        <v>78</v>
      </c>
      <c r="B80" t="s">
        <v>43</v>
      </c>
      <c r="C80">
        <v>2014</v>
      </c>
      <c r="D80" t="s">
        <v>1</v>
      </c>
      <c r="E80" t="s">
        <v>136</v>
      </c>
      <c r="F80" t="s">
        <v>6</v>
      </c>
      <c r="G80">
        <v>50</v>
      </c>
      <c r="H80" t="s">
        <v>158</v>
      </c>
      <c r="I80" s="36">
        <f>Tabelle_alle_Kennzahlen[[#This Row],[value (research)]]/1000*'2'!$E$49</f>
        <v>1.8620999999999999</v>
      </c>
      <c r="J80">
        <f>Tabelle_alle_Kennzahlen[[#This Row],[publication year]]</f>
        <v>2014</v>
      </c>
      <c r="K80" t="s">
        <v>89</v>
      </c>
      <c r="L80" t="s">
        <v>156</v>
      </c>
    </row>
    <row r="81" spans="1:43" x14ac:dyDescent="0.3">
      <c r="A81">
        <v>79</v>
      </c>
      <c r="B81" t="s">
        <v>43</v>
      </c>
      <c r="C81">
        <v>2014</v>
      </c>
      <c r="D81" t="s">
        <v>1</v>
      </c>
      <c r="E81" t="s">
        <v>136</v>
      </c>
      <c r="F81" t="s">
        <v>6</v>
      </c>
      <c r="G81">
        <v>40</v>
      </c>
      <c r="H81" t="s">
        <v>158</v>
      </c>
      <c r="I81" s="36">
        <f>Tabelle_alle_Kennzahlen[[#This Row],[value (research)]]/1000*'2'!$E$49</f>
        <v>1.4896799999999999</v>
      </c>
      <c r="J81">
        <f>Tabelle_alle_Kennzahlen[[#This Row],[publication year]]</f>
        <v>2014</v>
      </c>
      <c r="K81" t="s">
        <v>89</v>
      </c>
      <c r="L81" t="s">
        <v>156</v>
      </c>
    </row>
    <row r="82" spans="1:43" x14ac:dyDescent="0.3">
      <c r="A82">
        <v>80</v>
      </c>
      <c r="B82" t="s">
        <v>43</v>
      </c>
      <c r="C82">
        <v>2014</v>
      </c>
      <c r="D82" t="s">
        <v>1</v>
      </c>
      <c r="E82" t="s">
        <v>136</v>
      </c>
      <c r="F82" t="s">
        <v>6</v>
      </c>
      <c r="G82">
        <v>62</v>
      </c>
      <c r="H82" t="s">
        <v>158</v>
      </c>
      <c r="I82" s="36">
        <f>Tabelle_alle_Kennzahlen[[#This Row],[value (research)]]/1000*'2'!$E$49</f>
        <v>2.3090039999999998</v>
      </c>
      <c r="J82">
        <f>Tabelle_alle_Kennzahlen[[#This Row],[publication year]]</f>
        <v>2014</v>
      </c>
      <c r="K82" t="s">
        <v>89</v>
      </c>
      <c r="L82" t="s">
        <v>156</v>
      </c>
    </row>
    <row r="83" spans="1:43" x14ac:dyDescent="0.3">
      <c r="A83">
        <v>81</v>
      </c>
      <c r="B83" t="s">
        <v>43</v>
      </c>
      <c r="C83">
        <v>2014</v>
      </c>
      <c r="D83" t="s">
        <v>1</v>
      </c>
      <c r="E83" t="s">
        <v>136</v>
      </c>
      <c r="F83" t="s">
        <v>6</v>
      </c>
      <c r="G83">
        <v>15</v>
      </c>
      <c r="H83" t="s">
        <v>158</v>
      </c>
      <c r="I83" s="36">
        <f>Tabelle_alle_Kennzahlen[[#This Row],[value (research)]]/1000*'2'!$E$49</f>
        <v>0.55862999999999996</v>
      </c>
      <c r="J83">
        <f>Tabelle_alle_Kennzahlen[[#This Row],[publication year]]</f>
        <v>2014</v>
      </c>
      <c r="K83" t="s">
        <v>139</v>
      </c>
      <c r="L83" t="s">
        <v>156</v>
      </c>
    </row>
    <row r="84" spans="1:43" x14ac:dyDescent="0.3">
      <c r="A84">
        <v>82</v>
      </c>
      <c r="B84" t="s">
        <v>43</v>
      </c>
      <c r="C84">
        <v>2014</v>
      </c>
      <c r="D84" t="s">
        <v>1</v>
      </c>
      <c r="E84" t="s">
        <v>136</v>
      </c>
      <c r="F84" t="s">
        <v>6</v>
      </c>
      <c r="G84">
        <v>25</v>
      </c>
      <c r="H84" t="s">
        <v>158</v>
      </c>
      <c r="I84" s="36">
        <f>Tabelle_alle_Kennzahlen[[#This Row],[value (research)]]/1000*'2'!$E$49</f>
        <v>0.93104999999999993</v>
      </c>
      <c r="J84">
        <f>Tabelle_alle_Kennzahlen[[#This Row],[publication year]]</f>
        <v>2014</v>
      </c>
      <c r="K84" t="s">
        <v>139</v>
      </c>
      <c r="L84" t="s">
        <v>156</v>
      </c>
    </row>
    <row r="85" spans="1:43" x14ac:dyDescent="0.3">
      <c r="A85">
        <v>83</v>
      </c>
      <c r="B85" t="s">
        <v>44</v>
      </c>
      <c r="C85">
        <v>2014</v>
      </c>
      <c r="D85" t="s">
        <v>38</v>
      </c>
      <c r="E85" t="s">
        <v>136</v>
      </c>
      <c r="F85" t="s">
        <v>6</v>
      </c>
      <c r="G85">
        <v>20</v>
      </c>
      <c r="H85" t="s">
        <v>158</v>
      </c>
      <c r="I85" s="32"/>
      <c r="J85">
        <f>Tabelle_alle_Kennzahlen[[#This Row],[publication year]]</f>
        <v>2014</v>
      </c>
      <c r="L85" t="s">
        <v>156</v>
      </c>
    </row>
    <row r="86" spans="1:43" x14ac:dyDescent="0.3">
      <c r="A86">
        <v>84</v>
      </c>
      <c r="B86" t="s">
        <v>44</v>
      </c>
      <c r="C86">
        <v>2014</v>
      </c>
      <c r="D86" t="s">
        <v>38</v>
      </c>
      <c r="E86" t="s">
        <v>136</v>
      </c>
      <c r="F86" t="s">
        <v>6</v>
      </c>
      <c r="G86">
        <v>14</v>
      </c>
      <c r="H86" t="s">
        <v>158</v>
      </c>
      <c r="I86" s="32"/>
      <c r="J86">
        <f>Tabelle_alle_Kennzahlen[[#This Row],[publication year]]</f>
        <v>2014</v>
      </c>
      <c r="L86" t="s">
        <v>156</v>
      </c>
    </row>
    <row r="87" spans="1:43" x14ac:dyDescent="0.3">
      <c r="A87">
        <v>85</v>
      </c>
      <c r="B87" t="s">
        <v>44</v>
      </c>
      <c r="C87">
        <v>2014</v>
      </c>
      <c r="D87" t="s">
        <v>38</v>
      </c>
      <c r="E87" t="s">
        <v>136</v>
      </c>
      <c r="F87" t="s">
        <v>6</v>
      </c>
      <c r="G87">
        <v>130</v>
      </c>
      <c r="H87" t="s">
        <v>158</v>
      </c>
      <c r="I87" s="32"/>
      <c r="J87">
        <f>Tabelle_alle_Kennzahlen[[#This Row],[publication year]]</f>
        <v>2014</v>
      </c>
      <c r="L87" t="s">
        <v>156</v>
      </c>
    </row>
    <row r="88" spans="1:43" x14ac:dyDescent="0.3">
      <c r="A88">
        <v>86</v>
      </c>
      <c r="B88" t="s">
        <v>44</v>
      </c>
      <c r="C88">
        <v>2014</v>
      </c>
      <c r="D88" t="s">
        <v>38</v>
      </c>
      <c r="E88" t="s">
        <v>136</v>
      </c>
      <c r="F88" t="s">
        <v>6</v>
      </c>
      <c r="G88">
        <v>40</v>
      </c>
      <c r="H88" t="s">
        <v>158</v>
      </c>
      <c r="I88" s="32"/>
      <c r="J88">
        <f>Tabelle_alle_Kennzahlen[[#This Row],[publication year]]</f>
        <v>2014</v>
      </c>
      <c r="L88" t="s">
        <v>156</v>
      </c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</row>
    <row r="89" spans="1:43" ht="15.75" customHeight="1" x14ac:dyDescent="0.3">
      <c r="A89">
        <v>87</v>
      </c>
      <c r="B89" t="s">
        <v>44</v>
      </c>
      <c r="C89">
        <v>2014</v>
      </c>
      <c r="D89" t="s">
        <v>38</v>
      </c>
      <c r="E89" t="s">
        <v>136</v>
      </c>
      <c r="F89" t="s">
        <v>6</v>
      </c>
      <c r="G89">
        <v>9</v>
      </c>
      <c r="H89" t="s">
        <v>158</v>
      </c>
      <c r="I89" s="32"/>
      <c r="J89">
        <f>Tabelle_alle_Kennzahlen[[#This Row],[publication year]]</f>
        <v>2014</v>
      </c>
      <c r="L89" t="s">
        <v>156</v>
      </c>
    </row>
    <row r="90" spans="1:43" x14ac:dyDescent="0.3">
      <c r="A90">
        <v>88</v>
      </c>
      <c r="B90" t="s">
        <v>44</v>
      </c>
      <c r="C90">
        <v>2014</v>
      </c>
      <c r="D90" t="s">
        <v>38</v>
      </c>
      <c r="E90" t="s">
        <v>136</v>
      </c>
      <c r="F90" t="s">
        <v>6</v>
      </c>
      <c r="G90">
        <v>2</v>
      </c>
      <c r="H90" t="s">
        <v>158</v>
      </c>
      <c r="I90" s="32"/>
      <c r="J90">
        <f>Tabelle_alle_Kennzahlen[[#This Row],[publication year]]</f>
        <v>2014</v>
      </c>
      <c r="L90" t="s">
        <v>156</v>
      </c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</row>
    <row r="91" spans="1:43" x14ac:dyDescent="0.3">
      <c r="A91">
        <v>89</v>
      </c>
      <c r="B91" t="s">
        <v>45</v>
      </c>
      <c r="C91">
        <v>2014</v>
      </c>
      <c r="D91" t="s">
        <v>38</v>
      </c>
      <c r="E91" t="s">
        <v>136</v>
      </c>
      <c r="F91" t="s">
        <v>6</v>
      </c>
      <c r="G91">
        <v>30</v>
      </c>
      <c r="H91" t="s">
        <v>158</v>
      </c>
      <c r="I91" s="32"/>
      <c r="J91">
        <f>Tabelle_alle_Kennzahlen[[#This Row],[publication year]]</f>
        <v>2014</v>
      </c>
      <c r="L91" t="s">
        <v>156</v>
      </c>
    </row>
    <row r="92" spans="1:43" x14ac:dyDescent="0.3">
      <c r="A92">
        <v>90</v>
      </c>
      <c r="B92" t="s">
        <v>45</v>
      </c>
      <c r="C92">
        <v>2014</v>
      </c>
      <c r="D92" t="s">
        <v>38</v>
      </c>
      <c r="E92" t="s">
        <v>136</v>
      </c>
      <c r="F92" t="s">
        <v>6</v>
      </c>
      <c r="G92">
        <v>20</v>
      </c>
      <c r="H92" t="s">
        <v>158</v>
      </c>
      <c r="I92" s="32"/>
      <c r="J92">
        <f>Tabelle_alle_Kennzahlen[[#This Row],[publication year]]</f>
        <v>2014</v>
      </c>
      <c r="L92" t="s">
        <v>156</v>
      </c>
    </row>
    <row r="93" spans="1:43" x14ac:dyDescent="0.3">
      <c r="A93">
        <v>91</v>
      </c>
      <c r="B93" t="s">
        <v>45</v>
      </c>
      <c r="C93">
        <v>2014</v>
      </c>
      <c r="D93" t="s">
        <v>38</v>
      </c>
      <c r="E93" t="s">
        <v>136</v>
      </c>
      <c r="F93" t="s">
        <v>6</v>
      </c>
      <c r="G93">
        <v>12</v>
      </c>
      <c r="H93" t="s">
        <v>158</v>
      </c>
      <c r="I93" s="32"/>
      <c r="J93">
        <f>Tabelle_alle_Kennzahlen[[#This Row],[publication year]]</f>
        <v>2014</v>
      </c>
      <c r="L93" t="s">
        <v>156</v>
      </c>
    </row>
    <row r="94" spans="1:43" x14ac:dyDescent="0.3">
      <c r="A94">
        <v>92</v>
      </c>
      <c r="B94" t="s">
        <v>45</v>
      </c>
      <c r="C94">
        <v>2014</v>
      </c>
      <c r="D94" t="s">
        <v>38</v>
      </c>
      <c r="E94" t="s">
        <v>136</v>
      </c>
      <c r="F94" t="s">
        <v>6</v>
      </c>
      <c r="G94">
        <v>125</v>
      </c>
      <c r="H94" t="s">
        <v>158</v>
      </c>
      <c r="I94" s="32"/>
      <c r="J94">
        <f>Tabelle_alle_Kennzahlen[[#This Row],[publication year]]</f>
        <v>2014</v>
      </c>
      <c r="L94" t="s">
        <v>156</v>
      </c>
    </row>
    <row r="95" spans="1:43" x14ac:dyDescent="0.3">
      <c r="A95">
        <v>93</v>
      </c>
      <c r="B95" t="s">
        <v>45</v>
      </c>
      <c r="C95">
        <v>2014</v>
      </c>
      <c r="D95" t="s">
        <v>38</v>
      </c>
      <c r="E95" t="s">
        <v>136</v>
      </c>
      <c r="F95" t="s">
        <v>6</v>
      </c>
      <c r="G95">
        <v>8</v>
      </c>
      <c r="H95" t="s">
        <v>158</v>
      </c>
      <c r="I95" s="32"/>
      <c r="J95">
        <f>Tabelle_alle_Kennzahlen[[#This Row],[publication year]]</f>
        <v>2014</v>
      </c>
      <c r="L95" t="s">
        <v>156</v>
      </c>
    </row>
    <row r="96" spans="1:43" x14ac:dyDescent="0.3">
      <c r="A96">
        <v>94</v>
      </c>
      <c r="B96" t="s">
        <v>45</v>
      </c>
      <c r="C96">
        <v>2014</v>
      </c>
      <c r="D96" t="s">
        <v>38</v>
      </c>
      <c r="E96" t="s">
        <v>136</v>
      </c>
      <c r="F96" t="s">
        <v>6</v>
      </c>
      <c r="G96">
        <v>2</v>
      </c>
      <c r="H96" t="s">
        <v>158</v>
      </c>
      <c r="I96" s="32"/>
      <c r="J96">
        <f>Tabelle_alle_Kennzahlen[[#This Row],[publication year]]</f>
        <v>2014</v>
      </c>
      <c r="L96" t="s">
        <v>156</v>
      </c>
    </row>
    <row r="97" spans="1:12" x14ac:dyDescent="0.3">
      <c r="A97">
        <v>95</v>
      </c>
      <c r="B97" t="s">
        <v>46</v>
      </c>
      <c r="C97">
        <v>2014</v>
      </c>
      <c r="D97" t="s">
        <v>38</v>
      </c>
      <c r="E97" t="s">
        <v>136</v>
      </c>
      <c r="F97" t="s">
        <v>6</v>
      </c>
      <c r="G97">
        <v>33</v>
      </c>
      <c r="H97" t="s">
        <v>158</v>
      </c>
      <c r="I97" s="32"/>
      <c r="J97">
        <f>Tabelle_alle_Kennzahlen[[#This Row],[publication year]]</f>
        <v>2014</v>
      </c>
      <c r="L97" t="s">
        <v>156</v>
      </c>
    </row>
    <row r="98" spans="1:12" x14ac:dyDescent="0.3">
      <c r="A98">
        <v>96</v>
      </c>
      <c r="B98" t="s">
        <v>46</v>
      </c>
      <c r="C98">
        <v>2014</v>
      </c>
      <c r="D98" t="s">
        <v>38</v>
      </c>
      <c r="E98" t="s">
        <v>136</v>
      </c>
      <c r="F98" t="s">
        <v>6</v>
      </c>
      <c r="G98">
        <v>27</v>
      </c>
      <c r="H98" t="s">
        <v>158</v>
      </c>
      <c r="I98" s="32"/>
      <c r="J98">
        <f>Tabelle_alle_Kennzahlen[[#This Row],[publication year]]</f>
        <v>2014</v>
      </c>
      <c r="L98" t="s">
        <v>156</v>
      </c>
    </row>
    <row r="99" spans="1:12" x14ac:dyDescent="0.3">
      <c r="A99">
        <v>97</v>
      </c>
      <c r="B99" t="s">
        <v>46</v>
      </c>
      <c r="C99">
        <v>2014</v>
      </c>
      <c r="D99" t="s">
        <v>38</v>
      </c>
      <c r="E99" t="s">
        <v>136</v>
      </c>
      <c r="F99" t="s">
        <v>6</v>
      </c>
      <c r="G99">
        <v>123</v>
      </c>
      <c r="H99" t="s">
        <v>158</v>
      </c>
      <c r="I99" s="32"/>
      <c r="J99">
        <f>Tabelle_alle_Kennzahlen[[#This Row],[publication year]]</f>
        <v>2014</v>
      </c>
      <c r="L99" t="s">
        <v>156</v>
      </c>
    </row>
    <row r="100" spans="1:12" x14ac:dyDescent="0.3">
      <c r="A100">
        <v>98</v>
      </c>
      <c r="B100" t="s">
        <v>46</v>
      </c>
      <c r="C100">
        <v>2014</v>
      </c>
      <c r="D100" t="s">
        <v>38</v>
      </c>
      <c r="E100" t="s">
        <v>136</v>
      </c>
      <c r="F100" t="s">
        <v>6</v>
      </c>
      <c r="G100">
        <v>7</v>
      </c>
      <c r="H100" t="s">
        <v>158</v>
      </c>
      <c r="I100" s="32"/>
      <c r="J100">
        <f>Tabelle_alle_Kennzahlen[[#This Row],[publication year]]</f>
        <v>2014</v>
      </c>
      <c r="L100" t="s">
        <v>156</v>
      </c>
    </row>
    <row r="101" spans="1:12" x14ac:dyDescent="0.3">
      <c r="A101">
        <v>99</v>
      </c>
      <c r="B101" t="s">
        <v>46</v>
      </c>
      <c r="C101">
        <v>2014</v>
      </c>
      <c r="D101" t="s">
        <v>38</v>
      </c>
      <c r="E101" t="s">
        <v>136</v>
      </c>
      <c r="F101" t="s">
        <v>6</v>
      </c>
      <c r="G101">
        <v>3</v>
      </c>
      <c r="H101" t="s">
        <v>158</v>
      </c>
      <c r="I101" s="32"/>
      <c r="J101">
        <f>Tabelle_alle_Kennzahlen[[#This Row],[publication year]]</f>
        <v>2014</v>
      </c>
      <c r="L101" t="s">
        <v>156</v>
      </c>
    </row>
    <row r="102" spans="1:12" x14ac:dyDescent="0.3">
      <c r="A102">
        <v>121</v>
      </c>
      <c r="B102" t="s">
        <v>48</v>
      </c>
      <c r="C102">
        <v>2014</v>
      </c>
      <c r="D102" t="s">
        <v>152</v>
      </c>
      <c r="E102" t="s">
        <v>136</v>
      </c>
      <c r="F102" t="s">
        <v>6</v>
      </c>
      <c r="G102">
        <v>16</v>
      </c>
      <c r="H102" t="s">
        <v>158</v>
      </c>
      <c r="I102" s="4">
        <f>Tabelle_alle_Kennzahlen[[#This Row],[value (research)]]/1000*'2'!$E$58</f>
        <v>1.9248000000000001</v>
      </c>
      <c r="J102">
        <f>Tabelle_alle_Kennzahlen[[#This Row],[publication year]]</f>
        <v>2014</v>
      </c>
      <c r="K102" t="s">
        <v>139</v>
      </c>
      <c r="L102" t="s">
        <v>154</v>
      </c>
    </row>
    <row r="103" spans="1:12" x14ac:dyDescent="0.3">
      <c r="A103">
        <v>258</v>
      </c>
      <c r="B103" t="s">
        <v>88</v>
      </c>
      <c r="C103">
        <v>2004</v>
      </c>
      <c r="D103" t="s">
        <v>152</v>
      </c>
      <c r="E103" t="s">
        <v>136</v>
      </c>
      <c r="F103" t="s">
        <v>157</v>
      </c>
      <c r="G103">
        <v>1.7000000000000001E-2</v>
      </c>
      <c r="H103" t="s">
        <v>158</v>
      </c>
      <c r="I103" s="4">
        <f>Tabelle_alle_Kennzahlen[[#This Row],[value (research)]]*'2'!$E$58</f>
        <v>2.0451000000000001</v>
      </c>
      <c r="J103">
        <f>Tabelle_alle_Kennzahlen[[#This Row],[publication year]]</f>
        <v>2004</v>
      </c>
      <c r="K103" t="s">
        <v>139</v>
      </c>
      <c r="L103" t="s">
        <v>154</v>
      </c>
    </row>
    <row r="104" spans="1:12" x14ac:dyDescent="0.3">
      <c r="A104">
        <v>118</v>
      </c>
      <c r="B104" t="s">
        <v>48</v>
      </c>
      <c r="C104">
        <v>2014</v>
      </c>
      <c r="D104" t="s">
        <v>152</v>
      </c>
      <c r="E104" t="s">
        <v>136</v>
      </c>
      <c r="F104" t="s">
        <v>6</v>
      </c>
      <c r="G104">
        <v>18</v>
      </c>
      <c r="H104" t="s">
        <v>158</v>
      </c>
      <c r="I104" s="4">
        <f>Tabelle_alle_Kennzahlen[[#This Row],[value (research)]]/1000*'2'!$E$58</f>
        <v>2.1654</v>
      </c>
      <c r="J104">
        <f>Tabelle_alle_Kennzahlen[[#This Row],[publication year]]</f>
        <v>2014</v>
      </c>
      <c r="K104" t="s">
        <v>139</v>
      </c>
      <c r="L104" t="s">
        <v>154</v>
      </c>
    </row>
    <row r="105" spans="1:12" x14ac:dyDescent="0.3">
      <c r="A105">
        <v>119</v>
      </c>
      <c r="B105" t="s">
        <v>48</v>
      </c>
      <c r="C105">
        <v>2014</v>
      </c>
      <c r="D105" t="s">
        <v>152</v>
      </c>
      <c r="E105" t="s">
        <v>136</v>
      </c>
      <c r="F105" t="s">
        <v>6</v>
      </c>
      <c r="G105">
        <v>18</v>
      </c>
      <c r="H105" t="s">
        <v>158</v>
      </c>
      <c r="I105" s="4">
        <f>Tabelle_alle_Kennzahlen[[#This Row],[value (research)]]/1000*'2'!$E$58</f>
        <v>2.1654</v>
      </c>
      <c r="J105">
        <f>Tabelle_alle_Kennzahlen[[#This Row],[publication year]]</f>
        <v>2014</v>
      </c>
      <c r="K105" t="s">
        <v>139</v>
      </c>
      <c r="L105" t="s">
        <v>154</v>
      </c>
    </row>
    <row r="106" spans="1:12" x14ac:dyDescent="0.3">
      <c r="A106">
        <v>216</v>
      </c>
      <c r="B106" t="s">
        <v>68</v>
      </c>
      <c r="C106">
        <v>2006</v>
      </c>
      <c r="D106" t="s">
        <v>152</v>
      </c>
      <c r="E106" t="s">
        <v>136</v>
      </c>
      <c r="F106" t="s">
        <v>53</v>
      </c>
      <c r="G106">
        <v>20</v>
      </c>
      <c r="H106" t="s">
        <v>158</v>
      </c>
      <c r="I106" s="36">
        <f>Tabelle_alle_Kennzahlen[[#This Row],[value (research)]]/1000*100/3.6/30*'2'!$E$58</f>
        <v>2.2277777777777779</v>
      </c>
      <c r="J106">
        <f>Tabelle_alle_Kennzahlen[[#This Row],[publication year]]</f>
        <v>2006</v>
      </c>
      <c r="K106" t="s">
        <v>139</v>
      </c>
      <c r="L106" t="s">
        <v>154</v>
      </c>
    </row>
    <row r="107" spans="1:12" x14ac:dyDescent="0.3">
      <c r="A107">
        <v>7</v>
      </c>
      <c r="B107" t="s">
        <v>57</v>
      </c>
      <c r="C107">
        <v>2006</v>
      </c>
      <c r="D107" t="s">
        <v>152</v>
      </c>
      <c r="E107" t="s">
        <v>136</v>
      </c>
      <c r="F107" t="s">
        <v>6</v>
      </c>
      <c r="G107">
        <v>20</v>
      </c>
      <c r="H107" t="s">
        <v>158</v>
      </c>
      <c r="I107" s="4">
        <f>Tabelle_alle_Kennzahlen[[#This Row],[value (research)]]/1000*'2'!$E$58</f>
        <v>2.4060000000000001</v>
      </c>
      <c r="J107">
        <f>Tabelle_alle_Kennzahlen[[#This Row],[publication year]]</f>
        <v>2006</v>
      </c>
      <c r="K107" t="s">
        <v>139</v>
      </c>
      <c r="L107" t="s">
        <v>154</v>
      </c>
    </row>
    <row r="108" spans="1:12" x14ac:dyDescent="0.3">
      <c r="A108">
        <v>10</v>
      </c>
      <c r="B108" t="s">
        <v>58</v>
      </c>
      <c r="C108">
        <v>2006</v>
      </c>
      <c r="D108" t="s">
        <v>152</v>
      </c>
      <c r="E108" t="s">
        <v>136</v>
      </c>
      <c r="F108" t="s">
        <v>6</v>
      </c>
      <c r="G108">
        <v>20</v>
      </c>
      <c r="H108" t="s">
        <v>158</v>
      </c>
      <c r="I108" s="4">
        <f>Tabelle_alle_Kennzahlen[[#This Row],[value (research)]]/1000*'2'!$E$58</f>
        <v>2.4060000000000001</v>
      </c>
      <c r="J108">
        <f>Tabelle_alle_Kennzahlen[[#This Row],[publication year]]</f>
        <v>2006</v>
      </c>
      <c r="K108" t="s">
        <v>139</v>
      </c>
      <c r="L108" t="s">
        <v>154</v>
      </c>
    </row>
    <row r="109" spans="1:12" x14ac:dyDescent="0.3">
      <c r="A109">
        <v>128</v>
      </c>
      <c r="B109" t="s">
        <v>50</v>
      </c>
      <c r="C109">
        <v>2014</v>
      </c>
      <c r="D109" t="s">
        <v>152</v>
      </c>
      <c r="E109" t="s">
        <v>136</v>
      </c>
      <c r="F109" t="s">
        <v>6</v>
      </c>
      <c r="G109">
        <v>20</v>
      </c>
      <c r="H109" t="s">
        <v>158</v>
      </c>
      <c r="I109" s="4">
        <f>Tabelle_alle_Kennzahlen[[#This Row],[value (research)]]/1000*'2'!$E$58</f>
        <v>2.4060000000000001</v>
      </c>
      <c r="J109">
        <f>Tabelle_alle_Kennzahlen[[#This Row],[publication year]]</f>
        <v>2014</v>
      </c>
      <c r="K109" t="s">
        <v>139</v>
      </c>
      <c r="L109" t="s">
        <v>154</v>
      </c>
    </row>
    <row r="110" spans="1:12" x14ac:dyDescent="0.3">
      <c r="A110">
        <v>256</v>
      </c>
      <c r="B110" t="s">
        <v>88</v>
      </c>
      <c r="C110">
        <v>2004</v>
      </c>
      <c r="D110" t="s">
        <v>152</v>
      </c>
      <c r="E110" t="s">
        <v>136</v>
      </c>
      <c r="F110" t="s">
        <v>157</v>
      </c>
      <c r="G110">
        <v>0.02</v>
      </c>
      <c r="H110" t="s">
        <v>158</v>
      </c>
      <c r="I110" s="4">
        <f>Tabelle_alle_Kennzahlen[[#This Row],[value (research)]]*'2'!$E$58</f>
        <v>2.4060000000000001</v>
      </c>
      <c r="J110">
        <f>Tabelle_alle_Kennzahlen[[#This Row],[publication year]]</f>
        <v>2004</v>
      </c>
      <c r="K110" t="s">
        <v>139</v>
      </c>
      <c r="L110" t="s">
        <v>154</v>
      </c>
    </row>
    <row r="111" spans="1:12" x14ac:dyDescent="0.3">
      <c r="A111">
        <v>259</v>
      </c>
      <c r="B111" t="s">
        <v>88</v>
      </c>
      <c r="C111">
        <v>2004</v>
      </c>
      <c r="D111" t="s">
        <v>152</v>
      </c>
      <c r="E111" t="s">
        <v>136</v>
      </c>
      <c r="F111" t="s">
        <v>157</v>
      </c>
      <c r="G111">
        <v>2.4E-2</v>
      </c>
      <c r="H111" t="s">
        <v>158</v>
      </c>
      <c r="I111" s="4">
        <f>Tabelle_alle_Kennzahlen[[#This Row],[value (research)]]*'2'!$E$58</f>
        <v>2.8872</v>
      </c>
      <c r="J111">
        <f>Tabelle_alle_Kennzahlen[[#This Row],[publication year]]</f>
        <v>2004</v>
      </c>
      <c r="K111" t="s">
        <v>139</v>
      </c>
      <c r="L111" t="s">
        <v>154</v>
      </c>
    </row>
    <row r="112" spans="1:12" x14ac:dyDescent="0.3">
      <c r="A112">
        <v>191</v>
      </c>
      <c r="B112" t="s">
        <v>54</v>
      </c>
      <c r="C112">
        <v>2019</v>
      </c>
      <c r="D112" t="s">
        <v>152</v>
      </c>
      <c r="E112" t="s">
        <v>136</v>
      </c>
      <c r="F112" t="s">
        <v>158</v>
      </c>
      <c r="G112">
        <v>3</v>
      </c>
      <c r="H112" t="s">
        <v>158</v>
      </c>
      <c r="I112" s="4">
        <f>Tabelle_alle_Kennzahlen[[#This Row],[value (research)]]</f>
        <v>3</v>
      </c>
      <c r="J112">
        <v>2050</v>
      </c>
      <c r="K112" t="s">
        <v>139</v>
      </c>
      <c r="L112" t="s">
        <v>154</v>
      </c>
    </row>
    <row r="113" spans="1:12" x14ac:dyDescent="0.3">
      <c r="A113">
        <v>127</v>
      </c>
      <c r="B113" t="s">
        <v>50</v>
      </c>
      <c r="C113">
        <v>2014</v>
      </c>
      <c r="D113" t="s">
        <v>152</v>
      </c>
      <c r="E113" t="s">
        <v>136</v>
      </c>
      <c r="F113" t="s">
        <v>6</v>
      </c>
      <c r="G113">
        <v>25</v>
      </c>
      <c r="H113" t="s">
        <v>158</v>
      </c>
      <c r="I113" s="4">
        <f>Tabelle_alle_Kennzahlen[[#This Row],[value (research)]]/1000*'2'!$E$58</f>
        <v>3.0075000000000003</v>
      </c>
      <c r="J113">
        <f>Tabelle_alle_Kennzahlen[[#This Row],[publication year]]</f>
        <v>2014</v>
      </c>
      <c r="K113" t="s">
        <v>139</v>
      </c>
      <c r="L113" t="s">
        <v>154</v>
      </c>
    </row>
    <row r="114" spans="1:12" x14ac:dyDescent="0.3">
      <c r="A114">
        <v>8</v>
      </c>
      <c r="B114" t="s">
        <v>57</v>
      </c>
      <c r="C114">
        <v>2006</v>
      </c>
      <c r="D114" t="s">
        <v>152</v>
      </c>
      <c r="E114" t="s">
        <v>136</v>
      </c>
      <c r="F114" t="s">
        <v>6</v>
      </c>
      <c r="G114">
        <v>30</v>
      </c>
      <c r="H114" t="s">
        <v>158</v>
      </c>
      <c r="I114" s="4">
        <f>Tabelle_alle_Kennzahlen[[#This Row],[value (research)]]/1000*'2'!$E$58</f>
        <v>3.609</v>
      </c>
      <c r="J114">
        <f>Tabelle_alle_Kennzahlen[[#This Row],[publication year]]</f>
        <v>2006</v>
      </c>
      <c r="K114" t="s">
        <v>139</v>
      </c>
      <c r="L114" t="s">
        <v>154</v>
      </c>
    </row>
    <row r="115" spans="1:12" x14ac:dyDescent="0.3">
      <c r="A115">
        <v>11</v>
      </c>
      <c r="B115" t="s">
        <v>58</v>
      </c>
      <c r="C115">
        <v>2006</v>
      </c>
      <c r="D115" t="s">
        <v>152</v>
      </c>
      <c r="E115" t="s">
        <v>136</v>
      </c>
      <c r="F115" t="s">
        <v>6</v>
      </c>
      <c r="G115">
        <v>30</v>
      </c>
      <c r="H115" t="s">
        <v>158</v>
      </c>
      <c r="I115" s="4">
        <f>Tabelle_alle_Kennzahlen[[#This Row],[value (research)]]/1000*'2'!$E$58</f>
        <v>3.609</v>
      </c>
      <c r="J115">
        <f>Tabelle_alle_Kennzahlen[[#This Row],[publication year]]</f>
        <v>2006</v>
      </c>
      <c r="K115" t="s">
        <v>139</v>
      </c>
      <c r="L115" t="s">
        <v>154</v>
      </c>
    </row>
    <row r="116" spans="1:12" x14ac:dyDescent="0.3">
      <c r="A116">
        <v>218</v>
      </c>
      <c r="B116" t="s">
        <v>70</v>
      </c>
      <c r="C116">
        <v>2015</v>
      </c>
      <c r="D116" t="s">
        <v>152</v>
      </c>
      <c r="E116" t="s">
        <v>136</v>
      </c>
      <c r="F116" t="s">
        <v>31</v>
      </c>
      <c r="G116">
        <v>3.1E-2</v>
      </c>
      <c r="H116" t="s">
        <v>158</v>
      </c>
      <c r="I116" s="4">
        <f>Tabelle_alle_Kennzahlen[[#This Row],[value (research)]]*'2'!$E$58</f>
        <v>3.7292999999999998</v>
      </c>
      <c r="J116">
        <f>Tabelle_alle_Kennzahlen[[#This Row],[publication year]]</f>
        <v>2015</v>
      </c>
      <c r="K116" t="s">
        <v>139</v>
      </c>
      <c r="L116" t="s">
        <v>154</v>
      </c>
    </row>
    <row r="117" spans="1:12" x14ac:dyDescent="0.3">
      <c r="A117">
        <v>273</v>
      </c>
      <c r="B117" t="s">
        <v>98</v>
      </c>
      <c r="C117">
        <v>2012</v>
      </c>
      <c r="D117" t="s">
        <v>152</v>
      </c>
      <c r="E117" t="s">
        <v>136</v>
      </c>
      <c r="F117" t="s">
        <v>158</v>
      </c>
      <c r="G117">
        <v>4.0999999999999996</v>
      </c>
      <c r="H117" t="s">
        <v>158</v>
      </c>
      <c r="I117" s="4">
        <f>Tabelle_alle_Kennzahlen[[#This Row],[value (research)]]</f>
        <v>4.0999999999999996</v>
      </c>
      <c r="J117">
        <v>2012</v>
      </c>
      <c r="K117" t="s">
        <v>139</v>
      </c>
      <c r="L117" t="s">
        <v>154</v>
      </c>
    </row>
    <row r="118" spans="1:12" x14ac:dyDescent="0.3">
      <c r="A118">
        <v>274</v>
      </c>
      <c r="B118" t="s">
        <v>98</v>
      </c>
      <c r="C118">
        <v>2012</v>
      </c>
      <c r="D118" t="s">
        <v>152</v>
      </c>
      <c r="E118" t="s">
        <v>136</v>
      </c>
      <c r="F118" t="s">
        <v>158</v>
      </c>
      <c r="G118">
        <v>4.0999999999999996</v>
      </c>
      <c r="H118" t="s">
        <v>158</v>
      </c>
      <c r="I118" s="4">
        <f>Tabelle_alle_Kennzahlen[[#This Row],[value (research)]]</f>
        <v>4.0999999999999996</v>
      </c>
      <c r="J118">
        <v>2012</v>
      </c>
      <c r="K118" t="s">
        <v>139</v>
      </c>
      <c r="L118" t="s">
        <v>154</v>
      </c>
    </row>
    <row r="119" spans="1:12" x14ac:dyDescent="0.3">
      <c r="A119">
        <v>204</v>
      </c>
      <c r="B119" t="s">
        <v>66</v>
      </c>
      <c r="C119">
        <v>2006</v>
      </c>
      <c r="D119" t="s">
        <v>152</v>
      </c>
      <c r="E119" t="s">
        <v>136</v>
      </c>
      <c r="F119" t="s">
        <v>6</v>
      </c>
      <c r="G119">
        <v>36</v>
      </c>
      <c r="H119" t="s">
        <v>158</v>
      </c>
      <c r="I119" s="13">
        <f>Tabelle_alle_Kennzahlen[[#This Row],[value (research)]]/1000*'2'!$E$58</f>
        <v>4.3308</v>
      </c>
      <c r="J119">
        <f>Tabelle_alle_Kennzahlen[[#This Row],[publication year]]</f>
        <v>2006</v>
      </c>
      <c r="K119" t="s">
        <v>139</v>
      </c>
      <c r="L119" t="s">
        <v>154</v>
      </c>
    </row>
    <row r="120" spans="1:12" x14ac:dyDescent="0.3">
      <c r="A120">
        <v>217</v>
      </c>
      <c r="B120" t="s">
        <v>70</v>
      </c>
      <c r="C120">
        <v>2015</v>
      </c>
      <c r="D120" t="s">
        <v>152</v>
      </c>
      <c r="E120" t="s">
        <v>136</v>
      </c>
      <c r="F120" t="s">
        <v>31</v>
      </c>
      <c r="G120">
        <v>4.2999999999999997E-2</v>
      </c>
      <c r="H120" t="s">
        <v>158</v>
      </c>
      <c r="I120" s="4">
        <f>Tabelle_alle_Kennzahlen[[#This Row],[value (research)]]*'2'!$E$58</f>
        <v>5.1728999999999994</v>
      </c>
      <c r="J120">
        <f>Tabelle_alle_Kennzahlen[[#This Row],[publication year]]</f>
        <v>2015</v>
      </c>
      <c r="K120" t="s">
        <v>139</v>
      </c>
      <c r="L120" t="s">
        <v>154</v>
      </c>
    </row>
    <row r="121" spans="1:12" x14ac:dyDescent="0.3">
      <c r="A121">
        <v>255</v>
      </c>
      <c r="B121" t="s">
        <v>88</v>
      </c>
      <c r="C121">
        <v>2004</v>
      </c>
      <c r="D121" t="s">
        <v>152</v>
      </c>
      <c r="E121" t="s">
        <v>136</v>
      </c>
      <c r="F121" t="s">
        <v>157</v>
      </c>
      <c r="G121">
        <v>4.5999999999999999E-2</v>
      </c>
      <c r="H121" t="s">
        <v>158</v>
      </c>
      <c r="I121" s="4">
        <f>Tabelle_alle_Kennzahlen[[#This Row],[value (research)]]*'2'!$E$58</f>
        <v>5.5337999999999994</v>
      </c>
      <c r="J121">
        <f>Tabelle_alle_Kennzahlen[[#This Row],[publication year]]</f>
        <v>2004</v>
      </c>
      <c r="K121" t="s">
        <v>139</v>
      </c>
      <c r="L121" t="s">
        <v>154</v>
      </c>
    </row>
    <row r="122" spans="1:12" x14ac:dyDescent="0.3">
      <c r="A122">
        <v>219</v>
      </c>
      <c r="B122" t="s">
        <v>70</v>
      </c>
      <c r="C122">
        <v>2015</v>
      </c>
      <c r="D122" t="s">
        <v>152</v>
      </c>
      <c r="E122" t="s">
        <v>136</v>
      </c>
      <c r="F122" t="s">
        <v>31</v>
      </c>
      <c r="G122">
        <v>0.06</v>
      </c>
      <c r="H122" t="s">
        <v>158</v>
      </c>
      <c r="I122" s="13">
        <f>Tabelle_alle_Kennzahlen[[#This Row],[value (research)]]*'2'!$E$58</f>
        <v>7.218</v>
      </c>
      <c r="J122">
        <f>Tabelle_alle_Kennzahlen[[#This Row],[publication year]]</f>
        <v>2015</v>
      </c>
      <c r="K122" t="s">
        <v>89</v>
      </c>
      <c r="L122" t="s">
        <v>154</v>
      </c>
    </row>
    <row r="123" spans="1:12" x14ac:dyDescent="0.3">
      <c r="A123">
        <v>203</v>
      </c>
      <c r="B123" t="s">
        <v>65</v>
      </c>
      <c r="C123">
        <v>2014</v>
      </c>
      <c r="D123" t="s">
        <v>152</v>
      </c>
      <c r="E123" t="s">
        <v>136</v>
      </c>
      <c r="F123" t="s">
        <v>6</v>
      </c>
      <c r="G123">
        <v>69.457999999999998</v>
      </c>
      <c r="H123" t="s">
        <v>158</v>
      </c>
      <c r="I123" s="13">
        <f>Tabelle_alle_Kennzahlen[[#This Row],[value (research)]]/1000*'2'!$E$58</f>
        <v>8.3557973999999984</v>
      </c>
      <c r="J123">
        <f>Tabelle_alle_Kennzahlen[[#This Row],[publication year]]</f>
        <v>2014</v>
      </c>
      <c r="K123" t="s">
        <v>89</v>
      </c>
      <c r="L123" t="s">
        <v>154</v>
      </c>
    </row>
    <row r="124" spans="1:12" x14ac:dyDescent="0.3">
      <c r="A124">
        <v>265</v>
      </c>
      <c r="B124" s="16" t="s">
        <v>99</v>
      </c>
      <c r="C124">
        <v>2019</v>
      </c>
      <c r="D124" t="s">
        <v>152</v>
      </c>
      <c r="E124" t="s">
        <v>136</v>
      </c>
      <c r="F124" t="s">
        <v>3</v>
      </c>
      <c r="G124">
        <v>70745</v>
      </c>
      <c r="H124" t="s">
        <v>158</v>
      </c>
      <c r="I124" s="4">
        <f>Tabelle_alle_Kennzahlen[[#This Row],[value (research)]]*'2'!$E$58/1000000</f>
        <v>8.5106234999999995</v>
      </c>
      <c r="J124">
        <v>2010</v>
      </c>
      <c r="K124" t="s">
        <v>89</v>
      </c>
      <c r="L124" t="s">
        <v>154</v>
      </c>
    </row>
    <row r="125" spans="1:12" x14ac:dyDescent="0.3">
      <c r="A125">
        <v>6</v>
      </c>
      <c r="B125" t="s">
        <v>57</v>
      </c>
      <c r="C125">
        <v>2006</v>
      </c>
      <c r="D125" t="s">
        <v>152</v>
      </c>
      <c r="E125" t="s">
        <v>136</v>
      </c>
      <c r="F125" t="s">
        <v>6</v>
      </c>
      <c r="G125">
        <v>85</v>
      </c>
      <c r="H125" t="s">
        <v>158</v>
      </c>
      <c r="I125" s="13">
        <f>Tabelle_alle_Kennzahlen[[#This Row],[value (research)]]/1000*'2'!$E$58</f>
        <v>10.2255</v>
      </c>
      <c r="J125">
        <f>Tabelle_alle_Kennzahlen[[#This Row],[publication year]]</f>
        <v>2006</v>
      </c>
      <c r="K125" t="s">
        <v>89</v>
      </c>
      <c r="L125" t="s">
        <v>154</v>
      </c>
    </row>
    <row r="126" spans="1:12" x14ac:dyDescent="0.3">
      <c r="A126">
        <v>9</v>
      </c>
      <c r="B126" t="s">
        <v>58</v>
      </c>
      <c r="C126">
        <v>2006</v>
      </c>
      <c r="D126" t="s">
        <v>152</v>
      </c>
      <c r="E126" t="s">
        <v>136</v>
      </c>
      <c r="F126" t="s">
        <v>6</v>
      </c>
      <c r="G126">
        <v>85</v>
      </c>
      <c r="H126" t="s">
        <v>158</v>
      </c>
      <c r="I126" s="13">
        <f>Tabelle_alle_Kennzahlen[[#This Row],[value (research)]]/1000*'2'!$E$58</f>
        <v>10.2255</v>
      </c>
      <c r="J126">
        <f>Tabelle_alle_Kennzahlen[[#This Row],[publication year]]</f>
        <v>2006</v>
      </c>
      <c r="K126" t="s">
        <v>89</v>
      </c>
      <c r="L126" t="s">
        <v>154</v>
      </c>
    </row>
    <row r="127" spans="1:12" x14ac:dyDescent="0.3">
      <c r="A127">
        <v>260</v>
      </c>
      <c r="B127" t="s">
        <v>88</v>
      </c>
      <c r="C127">
        <v>2004</v>
      </c>
      <c r="D127" t="s">
        <v>152</v>
      </c>
      <c r="E127" t="s">
        <v>136</v>
      </c>
      <c r="F127" t="s">
        <v>157</v>
      </c>
      <c r="G127">
        <v>8.6999999999999994E-2</v>
      </c>
      <c r="H127" t="s">
        <v>158</v>
      </c>
      <c r="I127" s="13">
        <f>Tabelle_alle_Kennzahlen[[#This Row],[value (research)]]*'2'!$E$58</f>
        <v>10.466099999999999</v>
      </c>
      <c r="J127">
        <f>Tabelle_alle_Kennzahlen[[#This Row],[publication year]]</f>
        <v>2004</v>
      </c>
      <c r="K127" t="s">
        <v>89</v>
      </c>
      <c r="L127" t="s">
        <v>154</v>
      </c>
    </row>
    <row r="128" spans="1:12" x14ac:dyDescent="0.3">
      <c r="A128">
        <v>214</v>
      </c>
      <c r="B128" t="s">
        <v>68</v>
      </c>
      <c r="C128">
        <v>2006</v>
      </c>
      <c r="D128" t="s">
        <v>152</v>
      </c>
      <c r="E128" t="s">
        <v>136</v>
      </c>
      <c r="F128" t="s">
        <v>53</v>
      </c>
      <c r="G128">
        <v>100</v>
      </c>
      <c r="H128" t="s">
        <v>158</v>
      </c>
      <c r="I128" s="36">
        <f>Tabelle_alle_Kennzahlen[[#This Row],[value (research)]]/1000*100/3.6/30*'2'!$E$58</f>
        <v>11.138888888888888</v>
      </c>
      <c r="J128">
        <f>Tabelle_alle_Kennzahlen[[#This Row],[publication year]]</f>
        <v>2006</v>
      </c>
      <c r="K128" t="s">
        <v>89</v>
      </c>
      <c r="L128" t="s">
        <v>154</v>
      </c>
    </row>
    <row r="129" spans="1:12" x14ac:dyDescent="0.3">
      <c r="A129">
        <v>190</v>
      </c>
      <c r="B129" t="s">
        <v>54</v>
      </c>
      <c r="C129">
        <v>2019</v>
      </c>
      <c r="D129" t="s">
        <v>152</v>
      </c>
      <c r="E129" t="s">
        <v>136</v>
      </c>
      <c r="F129" t="s">
        <v>158</v>
      </c>
      <c r="G129">
        <v>11.6</v>
      </c>
      <c r="H129" t="s">
        <v>158</v>
      </c>
      <c r="I129" s="13">
        <f>Tabelle_alle_Kennzahlen[[#This Row],[value (research)]]</f>
        <v>11.6</v>
      </c>
      <c r="J129">
        <v>2050</v>
      </c>
      <c r="K129" t="s">
        <v>89</v>
      </c>
      <c r="L129" t="s">
        <v>154</v>
      </c>
    </row>
    <row r="130" spans="1:12" x14ac:dyDescent="0.3">
      <c r="A130">
        <v>276</v>
      </c>
      <c r="B130" t="s">
        <v>98</v>
      </c>
      <c r="C130">
        <v>2012</v>
      </c>
      <c r="D130" t="s">
        <v>152</v>
      </c>
      <c r="E130" t="s">
        <v>136</v>
      </c>
      <c r="F130" t="s">
        <v>158</v>
      </c>
      <c r="G130">
        <v>12.5</v>
      </c>
      <c r="H130" t="s">
        <v>158</v>
      </c>
      <c r="I130" s="4">
        <f>Tabelle_alle_Kennzahlen[[#This Row],[value (research)]]</f>
        <v>12.5</v>
      </c>
      <c r="J130">
        <v>2012</v>
      </c>
      <c r="K130" t="s">
        <v>89</v>
      </c>
      <c r="L130" t="s">
        <v>154</v>
      </c>
    </row>
    <row r="131" spans="1:12" x14ac:dyDescent="0.3">
      <c r="A131">
        <v>102</v>
      </c>
      <c r="B131" t="s">
        <v>47</v>
      </c>
      <c r="C131">
        <v>2014</v>
      </c>
      <c r="D131" t="s">
        <v>152</v>
      </c>
      <c r="E131" t="s">
        <v>136</v>
      </c>
      <c r="F131" t="s">
        <v>6</v>
      </c>
      <c r="G131">
        <v>104</v>
      </c>
      <c r="H131" t="s">
        <v>158</v>
      </c>
      <c r="I131" s="4">
        <f>Tabelle_alle_Kennzahlen[[#This Row],[value (research)]]/1000*'2'!$E$58</f>
        <v>12.511199999999999</v>
      </c>
      <c r="J131">
        <f>Tabelle_alle_Kennzahlen[[#This Row],[publication year]]</f>
        <v>2014</v>
      </c>
      <c r="K131" t="s">
        <v>89</v>
      </c>
      <c r="L131" t="s">
        <v>154</v>
      </c>
    </row>
    <row r="132" spans="1:12" x14ac:dyDescent="0.3">
      <c r="A132">
        <v>110</v>
      </c>
      <c r="B132" t="s">
        <v>49</v>
      </c>
      <c r="C132">
        <v>2014</v>
      </c>
      <c r="D132" t="s">
        <v>152</v>
      </c>
      <c r="E132" t="s">
        <v>136</v>
      </c>
      <c r="F132" t="s">
        <v>6</v>
      </c>
      <c r="G132">
        <v>104</v>
      </c>
      <c r="H132" t="s">
        <v>158</v>
      </c>
      <c r="I132" s="4">
        <f>Tabelle_alle_Kennzahlen[[#This Row],[value (research)]]/1000*'2'!$E$58</f>
        <v>12.511199999999999</v>
      </c>
      <c r="J132">
        <f>Tabelle_alle_Kennzahlen[[#This Row],[publication year]]</f>
        <v>2014</v>
      </c>
      <c r="K132" t="s">
        <v>89</v>
      </c>
      <c r="L132" t="s">
        <v>154</v>
      </c>
    </row>
    <row r="133" spans="1:12" x14ac:dyDescent="0.3">
      <c r="A133">
        <v>123</v>
      </c>
      <c r="B133" t="s">
        <v>50</v>
      </c>
      <c r="C133">
        <v>2014</v>
      </c>
      <c r="D133" t="s">
        <v>152</v>
      </c>
      <c r="E133" t="s">
        <v>136</v>
      </c>
      <c r="F133" t="s">
        <v>6</v>
      </c>
      <c r="G133">
        <v>104</v>
      </c>
      <c r="H133" t="s">
        <v>158</v>
      </c>
      <c r="I133" s="4">
        <f>Tabelle_alle_Kennzahlen[[#This Row],[value (research)]]/1000*'2'!$E$58</f>
        <v>12.511199999999999</v>
      </c>
      <c r="J133">
        <f>Tabelle_alle_Kennzahlen[[#This Row],[publication year]]</f>
        <v>2014</v>
      </c>
      <c r="K133" t="s">
        <v>89</v>
      </c>
      <c r="L133" t="s">
        <v>154</v>
      </c>
    </row>
    <row r="134" spans="1:12" x14ac:dyDescent="0.3">
      <c r="A134">
        <v>132</v>
      </c>
      <c r="B134" t="s">
        <v>155</v>
      </c>
      <c r="C134">
        <v>2014</v>
      </c>
      <c r="D134" t="s">
        <v>150</v>
      </c>
      <c r="E134" t="s">
        <v>136</v>
      </c>
      <c r="F134" t="s">
        <v>6</v>
      </c>
      <c r="G134">
        <v>31</v>
      </c>
      <c r="H134" t="s">
        <v>158</v>
      </c>
      <c r="I134" s="13">
        <f>Tabelle_alle_Kennzahlen[[#This Row],[value (research)]]/1000*'2'!E22</f>
        <v>1.465873005299166</v>
      </c>
      <c r="J134">
        <f>Tabelle_alle_Kennzahlen[[#This Row],[publication year]]</f>
        <v>2014</v>
      </c>
      <c r="K134" t="s">
        <v>89</v>
      </c>
      <c r="L134" t="s">
        <v>156</v>
      </c>
    </row>
    <row r="135" spans="1:12" x14ac:dyDescent="0.3">
      <c r="A135">
        <v>133</v>
      </c>
      <c r="B135" t="s">
        <v>155</v>
      </c>
      <c r="C135">
        <v>2014</v>
      </c>
      <c r="D135" t="s">
        <v>151</v>
      </c>
      <c r="E135" t="s">
        <v>136</v>
      </c>
      <c r="F135" t="s">
        <v>40</v>
      </c>
      <c r="G135">
        <v>28</v>
      </c>
      <c r="H135" t="s">
        <v>158</v>
      </c>
      <c r="I135" s="13">
        <f>Tabelle_alle_Kennzahlen[[#This Row],[value (research)]]/1000*'2'!E31</f>
        <v>1.2877144</v>
      </c>
      <c r="J135">
        <f>Tabelle_alle_Kennzahlen[[#This Row],[publication year]]</f>
        <v>2014</v>
      </c>
      <c r="K135" t="s">
        <v>89</v>
      </c>
      <c r="L135" t="s">
        <v>156</v>
      </c>
    </row>
    <row r="136" spans="1:12" x14ac:dyDescent="0.3">
      <c r="A136">
        <v>134</v>
      </c>
      <c r="B136" t="s">
        <v>13</v>
      </c>
      <c r="C136">
        <v>2015</v>
      </c>
      <c r="D136" t="s">
        <v>150</v>
      </c>
      <c r="E136" t="s">
        <v>168</v>
      </c>
      <c r="F136" t="s">
        <v>20</v>
      </c>
      <c r="G136">
        <v>13.6</v>
      </c>
      <c r="H136" t="s">
        <v>14</v>
      </c>
      <c r="I136" s="2">
        <f>Tabelle_alle_Kennzahlen[[#This Row],[value (research)]]*3.6</f>
        <v>48.96</v>
      </c>
      <c r="J136">
        <f>Tabelle_alle_Kennzahlen[[#This Row],[publication year]]</f>
        <v>2015</v>
      </c>
      <c r="K136" t="s">
        <v>89</v>
      </c>
      <c r="L136" t="s">
        <v>154</v>
      </c>
    </row>
    <row r="137" spans="1:12" x14ac:dyDescent="0.3">
      <c r="A137">
        <v>135</v>
      </c>
      <c r="B137" t="s">
        <v>13</v>
      </c>
      <c r="C137">
        <v>2015</v>
      </c>
      <c r="D137" t="s">
        <v>151</v>
      </c>
      <c r="E137" t="s">
        <v>168</v>
      </c>
      <c r="F137" t="s">
        <v>20</v>
      </c>
      <c r="G137" s="2">
        <v>12.8</v>
      </c>
      <c r="H137" t="s">
        <v>14</v>
      </c>
      <c r="I137" s="2">
        <f>Tabelle_alle_Kennzahlen[[#This Row],[value (research)]]*3.6</f>
        <v>46.080000000000005</v>
      </c>
      <c r="J137">
        <f>Tabelle_alle_Kennzahlen[[#This Row],[publication year]]</f>
        <v>2015</v>
      </c>
      <c r="K137" t="s">
        <v>89</v>
      </c>
      <c r="L137" t="s">
        <v>154</v>
      </c>
    </row>
    <row r="138" spans="1:12" x14ac:dyDescent="0.3">
      <c r="A138">
        <v>136</v>
      </c>
      <c r="B138" t="s">
        <v>51</v>
      </c>
      <c r="C138">
        <v>2015</v>
      </c>
      <c r="D138" t="s">
        <v>142</v>
      </c>
      <c r="E138" t="s">
        <v>136</v>
      </c>
      <c r="F138" t="s">
        <v>6</v>
      </c>
      <c r="G138">
        <v>12.3</v>
      </c>
      <c r="H138" t="s">
        <v>158</v>
      </c>
      <c r="I138" s="13">
        <f>Tabelle_alle_Kennzahlen[[#This Row],[value (research)]]/1000*'2'!E4</f>
        <v>0.52862120000000001</v>
      </c>
      <c r="J138">
        <f>Tabelle_alle_Kennzahlen[[#This Row],[publication year]]</f>
        <v>2015</v>
      </c>
      <c r="K138" t="s">
        <v>89</v>
      </c>
      <c r="L138" t="s">
        <v>154</v>
      </c>
    </row>
    <row r="139" spans="1:12" x14ac:dyDescent="0.3">
      <c r="A139">
        <v>250</v>
      </c>
      <c r="B139" t="s">
        <v>97</v>
      </c>
      <c r="C139">
        <v>2017</v>
      </c>
      <c r="D139" t="s">
        <v>147</v>
      </c>
      <c r="E139" t="s">
        <v>136</v>
      </c>
      <c r="F139" t="s">
        <v>160</v>
      </c>
      <c r="G139">
        <v>34.94</v>
      </c>
      <c r="H139" t="s">
        <v>158</v>
      </c>
      <c r="I139" s="13">
        <f>Tabelle_alle_Kennzahlen[[#This Row],[value (research)]]/3.6*'2'!$E$13/1000</f>
        <v>0.41661636419753079</v>
      </c>
      <c r="J139">
        <v>2016</v>
      </c>
      <c r="K139" t="s">
        <v>89</v>
      </c>
      <c r="L139" t="s">
        <v>154</v>
      </c>
    </row>
    <row r="140" spans="1:12" x14ac:dyDescent="0.3">
      <c r="A140">
        <v>116</v>
      </c>
      <c r="B140" t="s">
        <v>48</v>
      </c>
      <c r="C140">
        <v>2014</v>
      </c>
      <c r="D140" t="s">
        <v>152</v>
      </c>
      <c r="E140" t="s">
        <v>136</v>
      </c>
      <c r="F140" t="s">
        <v>6</v>
      </c>
      <c r="G140">
        <v>105</v>
      </c>
      <c r="H140" t="s">
        <v>158</v>
      </c>
      <c r="I140" s="4">
        <f>Tabelle_alle_Kennzahlen[[#This Row],[value (research)]]/1000*'2'!$E$58</f>
        <v>12.631499999999999</v>
      </c>
      <c r="J140">
        <f>Tabelle_alle_Kennzahlen[[#This Row],[publication year]]</f>
        <v>2014</v>
      </c>
      <c r="K140" t="s">
        <v>89</v>
      </c>
      <c r="L140" t="s">
        <v>154</v>
      </c>
    </row>
    <row r="141" spans="1:12" x14ac:dyDescent="0.3">
      <c r="A141">
        <v>275</v>
      </c>
      <c r="B141" t="s">
        <v>98</v>
      </c>
      <c r="C141">
        <v>2012</v>
      </c>
      <c r="D141" t="s">
        <v>152</v>
      </c>
      <c r="E141" t="s">
        <v>136</v>
      </c>
      <c r="F141" t="s">
        <v>158</v>
      </c>
      <c r="G141">
        <v>12.9</v>
      </c>
      <c r="H141" t="s">
        <v>158</v>
      </c>
      <c r="I141" s="4">
        <f>Tabelle_alle_Kennzahlen[[#This Row],[value (research)]]</f>
        <v>12.9</v>
      </c>
      <c r="J141">
        <v>2012</v>
      </c>
      <c r="K141" t="s">
        <v>89</v>
      </c>
      <c r="L141" t="s">
        <v>154</v>
      </c>
    </row>
    <row r="142" spans="1:12" x14ac:dyDescent="0.3">
      <c r="A142">
        <v>140</v>
      </c>
      <c r="B142" t="s">
        <v>32</v>
      </c>
      <c r="C142">
        <v>2016</v>
      </c>
      <c r="D142" t="s">
        <v>150</v>
      </c>
      <c r="E142" t="s">
        <v>168</v>
      </c>
      <c r="F142" t="s">
        <v>14</v>
      </c>
      <c r="G142">
        <v>43.13</v>
      </c>
      <c r="H142" t="s">
        <v>14</v>
      </c>
      <c r="I142" s="2">
        <f>Tabelle_alle_Kennzahlen[[#This Row],[value (research)]]</f>
        <v>43.13</v>
      </c>
      <c r="J142">
        <v>2015</v>
      </c>
      <c r="K142" t="s">
        <v>89</v>
      </c>
      <c r="L142" t="s">
        <v>154</v>
      </c>
    </row>
    <row r="143" spans="1:12" x14ac:dyDescent="0.3">
      <c r="A143">
        <v>141</v>
      </c>
      <c r="B143" t="s">
        <v>169</v>
      </c>
      <c r="C143">
        <v>2016</v>
      </c>
      <c r="D143" t="s">
        <v>150</v>
      </c>
      <c r="E143" t="s">
        <v>168</v>
      </c>
      <c r="F143" t="s">
        <v>16</v>
      </c>
      <c r="G143">
        <v>35.868000000000002</v>
      </c>
      <c r="H143" t="s">
        <v>14</v>
      </c>
      <c r="I143" s="2">
        <f>Tabelle_alle_Kennzahlen[[#This Row],[value (research)]]/0.764</f>
        <v>46.947643979057595</v>
      </c>
      <c r="J143">
        <f>Tabelle_alle_Kennzahlen[[#This Row],[publication year]]</f>
        <v>2016</v>
      </c>
      <c r="K143" t="s">
        <v>89</v>
      </c>
      <c r="L143" t="s">
        <v>154</v>
      </c>
    </row>
    <row r="144" spans="1:12" x14ac:dyDescent="0.3">
      <c r="A144">
        <v>142</v>
      </c>
      <c r="B144" t="s">
        <v>8</v>
      </c>
      <c r="C144">
        <v>2016</v>
      </c>
      <c r="D144" t="s">
        <v>142</v>
      </c>
      <c r="E144" t="s">
        <v>136</v>
      </c>
      <c r="F144" t="s">
        <v>6</v>
      </c>
      <c r="G144">
        <f>42.13/3600000*10^6</f>
        <v>11.702777777777778</v>
      </c>
      <c r="H144" t="s">
        <v>158</v>
      </c>
      <c r="I144" s="13">
        <f>Tabelle_alle_Kennzahlen[[#This Row],[value (research)]]/1000*'2'!E4</f>
        <v>0.50295418148148152</v>
      </c>
      <c r="J144">
        <f>Tabelle_alle_Kennzahlen[[#This Row],[publication year]]</f>
        <v>2016</v>
      </c>
      <c r="K144" t="s">
        <v>89</v>
      </c>
      <c r="L144" t="s">
        <v>154</v>
      </c>
    </row>
    <row r="145" spans="1:12" x14ac:dyDescent="0.3">
      <c r="A145">
        <v>143</v>
      </c>
      <c r="B145" t="s">
        <v>2</v>
      </c>
      <c r="C145">
        <v>2016</v>
      </c>
      <c r="D145" t="s">
        <v>142</v>
      </c>
      <c r="E145" t="s">
        <v>134</v>
      </c>
      <c r="F145" t="s">
        <v>19</v>
      </c>
      <c r="G145">
        <v>0.74199999999999999</v>
      </c>
      <c r="H145" t="s">
        <v>19</v>
      </c>
      <c r="I145">
        <v>0.74199999999999999</v>
      </c>
      <c r="J145">
        <f>Tabelle_alle_Kennzahlen[[#This Row],[publication year]]</f>
        <v>2016</v>
      </c>
      <c r="K145" t="s">
        <v>89</v>
      </c>
      <c r="L145" t="s">
        <v>154</v>
      </c>
    </row>
    <row r="146" spans="1:12" x14ac:dyDescent="0.3">
      <c r="A146">
        <v>144</v>
      </c>
      <c r="B146" t="s">
        <v>2</v>
      </c>
      <c r="C146">
        <v>2016</v>
      </c>
      <c r="D146" t="s">
        <v>147</v>
      </c>
      <c r="E146" t="s">
        <v>134</v>
      </c>
      <c r="F146" t="s">
        <v>19</v>
      </c>
      <c r="G146">
        <v>0.83199999999999996</v>
      </c>
      <c r="H146" t="s">
        <v>19</v>
      </c>
      <c r="I146">
        <v>0.83199999999999996</v>
      </c>
      <c r="J146">
        <f>Tabelle_alle_Kennzahlen[[#This Row],[publication year]]</f>
        <v>2016</v>
      </c>
      <c r="K146" t="s">
        <v>89</v>
      </c>
      <c r="L146" t="s">
        <v>154</v>
      </c>
    </row>
    <row r="147" spans="1:12" x14ac:dyDescent="0.3">
      <c r="A147">
        <v>145</v>
      </c>
      <c r="B147" t="s">
        <v>2</v>
      </c>
      <c r="C147">
        <v>2016</v>
      </c>
      <c r="D147" t="s">
        <v>150</v>
      </c>
      <c r="E147" t="s">
        <v>134</v>
      </c>
      <c r="F147" t="s">
        <v>35</v>
      </c>
      <c r="G147">
        <v>0.71599999999999997</v>
      </c>
      <c r="H147" t="s">
        <v>19</v>
      </c>
      <c r="I147" s="73">
        <f>Tabelle_alle_Kennzahlen[[#This Row],[value (research)]]/1000</f>
        <v>7.1599999999999995E-4</v>
      </c>
      <c r="J147">
        <f>Tabelle_alle_Kennzahlen[[#This Row],[publication year]]</f>
        <v>2016</v>
      </c>
      <c r="K147" t="s">
        <v>89</v>
      </c>
      <c r="L147" t="s">
        <v>154</v>
      </c>
    </row>
    <row r="148" spans="1:12" x14ac:dyDescent="0.3">
      <c r="A148">
        <v>146</v>
      </c>
      <c r="B148" t="s">
        <v>2</v>
      </c>
      <c r="C148">
        <v>2016</v>
      </c>
      <c r="D148" t="s">
        <v>151</v>
      </c>
      <c r="E148" t="s">
        <v>134</v>
      </c>
      <c r="F148" t="s">
        <v>19</v>
      </c>
      <c r="G148">
        <v>0.6</v>
      </c>
      <c r="H148" t="s">
        <v>19</v>
      </c>
      <c r="I148" s="2">
        <v>0.6</v>
      </c>
      <c r="J148">
        <f>Tabelle_alle_Kennzahlen[[#This Row],[publication year]]</f>
        <v>2016</v>
      </c>
      <c r="K148" t="s">
        <v>89</v>
      </c>
      <c r="L148" t="s">
        <v>154</v>
      </c>
    </row>
    <row r="149" spans="1:12" x14ac:dyDescent="0.3">
      <c r="A149">
        <v>147</v>
      </c>
      <c r="B149" t="s">
        <v>2</v>
      </c>
      <c r="C149">
        <v>2016</v>
      </c>
      <c r="D149" t="s">
        <v>30</v>
      </c>
      <c r="E149" t="s">
        <v>134</v>
      </c>
      <c r="F149" t="s">
        <v>19</v>
      </c>
      <c r="G149">
        <v>0.79</v>
      </c>
      <c r="H149" t="s">
        <v>19</v>
      </c>
      <c r="I149">
        <v>0.79</v>
      </c>
      <c r="J149">
        <f>Tabelle_alle_Kennzahlen[[#This Row],[publication year]]</f>
        <v>2016</v>
      </c>
      <c r="K149" t="s">
        <v>89</v>
      </c>
      <c r="L149" t="s">
        <v>154</v>
      </c>
    </row>
    <row r="150" spans="1:12" x14ac:dyDescent="0.3">
      <c r="A150">
        <v>148</v>
      </c>
      <c r="B150" t="s">
        <v>2</v>
      </c>
      <c r="C150">
        <v>2016</v>
      </c>
      <c r="D150" t="s">
        <v>1</v>
      </c>
      <c r="E150" t="s">
        <v>134</v>
      </c>
      <c r="F150" t="s">
        <v>19</v>
      </c>
      <c r="G150">
        <v>0.879</v>
      </c>
      <c r="H150" t="s">
        <v>19</v>
      </c>
      <c r="I150">
        <v>0.879</v>
      </c>
      <c r="J150">
        <f>Tabelle_alle_Kennzahlen[[#This Row],[publication year]]</f>
        <v>2016</v>
      </c>
      <c r="K150" t="s">
        <v>89</v>
      </c>
      <c r="L150" t="s">
        <v>154</v>
      </c>
    </row>
    <row r="151" spans="1:12" x14ac:dyDescent="0.3">
      <c r="A151">
        <v>149</v>
      </c>
      <c r="B151" t="s">
        <v>2</v>
      </c>
      <c r="C151">
        <v>2016</v>
      </c>
      <c r="D151" t="s">
        <v>142</v>
      </c>
      <c r="E151" t="s">
        <v>168</v>
      </c>
      <c r="F151" t="s">
        <v>14</v>
      </c>
      <c r="G151">
        <v>43.542999999999999</v>
      </c>
      <c r="H151" t="s">
        <v>14</v>
      </c>
      <c r="I151">
        <f>Tabelle_alle_Kennzahlen[[#This Row],[value (research)]]</f>
        <v>43.542999999999999</v>
      </c>
      <c r="J151">
        <f>Tabelle_alle_Kennzahlen[[#This Row],[publication year]]</f>
        <v>2016</v>
      </c>
      <c r="K151" t="s">
        <v>89</v>
      </c>
      <c r="L151" t="s">
        <v>154</v>
      </c>
    </row>
    <row r="152" spans="1:12" x14ac:dyDescent="0.3">
      <c r="A152">
        <v>150</v>
      </c>
      <c r="B152" t="s">
        <v>2</v>
      </c>
      <c r="C152">
        <v>2016</v>
      </c>
      <c r="D152" t="s">
        <v>147</v>
      </c>
      <c r="E152" t="s">
        <v>168</v>
      </c>
      <c r="F152" t="s">
        <v>14</v>
      </c>
      <c r="G152">
        <v>42.96</v>
      </c>
      <c r="H152" t="s">
        <v>14</v>
      </c>
      <c r="I152">
        <f>Tabelle_alle_Kennzahlen[[#This Row],[value (research)]]</f>
        <v>42.96</v>
      </c>
      <c r="J152">
        <f>Tabelle_alle_Kennzahlen[[#This Row],[publication year]]</f>
        <v>2016</v>
      </c>
      <c r="K152" t="s">
        <v>89</v>
      </c>
      <c r="L152" t="s">
        <v>154</v>
      </c>
    </row>
    <row r="153" spans="1:12" x14ac:dyDescent="0.3">
      <c r="A153">
        <v>151</v>
      </c>
      <c r="B153" t="s">
        <v>2</v>
      </c>
      <c r="C153">
        <v>2016</v>
      </c>
      <c r="D153" t="s">
        <v>150</v>
      </c>
      <c r="E153" t="s">
        <v>168</v>
      </c>
      <c r="F153" t="s">
        <v>14</v>
      </c>
      <c r="G153">
        <v>46.5</v>
      </c>
      <c r="H153" t="s">
        <v>14</v>
      </c>
      <c r="I153" s="2">
        <f>Tabelle_alle_Kennzahlen[[#This Row],[value (research)]]</f>
        <v>46.5</v>
      </c>
      <c r="J153">
        <f>Tabelle_alle_Kennzahlen[[#This Row],[publication year]]</f>
        <v>2016</v>
      </c>
      <c r="K153" t="s">
        <v>89</v>
      </c>
      <c r="L153" t="s">
        <v>154</v>
      </c>
    </row>
    <row r="154" spans="1:12" x14ac:dyDescent="0.3">
      <c r="A154">
        <v>152</v>
      </c>
      <c r="B154" t="s">
        <v>2</v>
      </c>
      <c r="C154">
        <v>2016</v>
      </c>
      <c r="D154" t="s">
        <v>151</v>
      </c>
      <c r="E154" t="s">
        <v>168</v>
      </c>
      <c r="F154" t="s">
        <v>14</v>
      </c>
      <c r="G154" s="2">
        <v>45.969000000000001</v>
      </c>
      <c r="H154" t="s">
        <v>14</v>
      </c>
      <c r="I154" s="2">
        <f>Tabelle_alle_Kennzahlen[[#This Row],[value (research)]]</f>
        <v>45.969000000000001</v>
      </c>
      <c r="J154">
        <f>Tabelle_alle_Kennzahlen[[#This Row],[publication year]]</f>
        <v>2016</v>
      </c>
      <c r="K154" t="s">
        <v>89</v>
      </c>
      <c r="L154" t="s">
        <v>154</v>
      </c>
    </row>
    <row r="155" spans="1:12" x14ac:dyDescent="0.3">
      <c r="A155">
        <v>153</v>
      </c>
      <c r="B155" t="s">
        <v>2</v>
      </c>
      <c r="C155">
        <v>2016</v>
      </c>
      <c r="D155" t="s">
        <v>30</v>
      </c>
      <c r="E155" t="s">
        <v>168</v>
      </c>
      <c r="F155" t="s">
        <v>14</v>
      </c>
      <c r="G155">
        <v>26.658000000000001</v>
      </c>
      <c r="H155" t="s">
        <v>14</v>
      </c>
      <c r="I155">
        <v>26.658000000000001</v>
      </c>
      <c r="J155">
        <f>Tabelle_alle_Kennzahlen[[#This Row],[publication year]]</f>
        <v>2016</v>
      </c>
      <c r="K155" t="s">
        <v>89</v>
      </c>
      <c r="L155" t="s">
        <v>154</v>
      </c>
    </row>
    <row r="156" spans="1:12" x14ac:dyDescent="0.3">
      <c r="A156">
        <v>154</v>
      </c>
      <c r="B156" t="s">
        <v>2</v>
      </c>
      <c r="C156">
        <v>2016</v>
      </c>
      <c r="D156" t="s">
        <v>1</v>
      </c>
      <c r="E156" t="s">
        <v>168</v>
      </c>
      <c r="F156" t="s">
        <v>14</v>
      </c>
      <c r="G156">
        <v>37.241999999999997</v>
      </c>
      <c r="H156" t="s">
        <v>14</v>
      </c>
      <c r="I156">
        <v>37.241999999999997</v>
      </c>
      <c r="J156">
        <f>Tabelle_alle_Kennzahlen[[#This Row],[publication year]]</f>
        <v>2016</v>
      </c>
      <c r="K156" t="s">
        <v>89</v>
      </c>
      <c r="L156" t="s">
        <v>154</v>
      </c>
    </row>
    <row r="157" spans="1:12" x14ac:dyDescent="0.3">
      <c r="A157">
        <v>155</v>
      </c>
      <c r="B157" t="s">
        <v>7</v>
      </c>
      <c r="C157">
        <v>2016</v>
      </c>
      <c r="D157" t="s">
        <v>142</v>
      </c>
      <c r="E157" t="s">
        <v>137</v>
      </c>
      <c r="F157" t="s">
        <v>6</v>
      </c>
      <c r="G157">
        <v>73.099999999999994</v>
      </c>
      <c r="H157" t="s">
        <v>4</v>
      </c>
      <c r="I157" s="74">
        <f>Tabelle_alle_Kennzahlen[[#This Row],[value (research)]]/10^6</f>
        <v>7.3099999999999988E-5</v>
      </c>
      <c r="J157">
        <f>Tabelle_alle_Kennzahlen[[#This Row],[publication year]]</f>
        <v>2016</v>
      </c>
      <c r="K157" t="s">
        <v>89</v>
      </c>
      <c r="L157" t="s">
        <v>154</v>
      </c>
    </row>
    <row r="158" spans="1:12" x14ac:dyDescent="0.3">
      <c r="A158">
        <v>156</v>
      </c>
      <c r="B158" t="s">
        <v>7</v>
      </c>
      <c r="C158">
        <v>2016</v>
      </c>
      <c r="D158" t="s">
        <v>147</v>
      </c>
      <c r="E158" t="s">
        <v>137</v>
      </c>
      <c r="F158" t="s">
        <v>6</v>
      </c>
      <c r="G158">
        <v>74</v>
      </c>
      <c r="H158" t="s">
        <v>4</v>
      </c>
      <c r="I158" s="74">
        <f>Tabelle_alle_Kennzahlen[[#This Row],[value (research)]]/10^6</f>
        <v>7.3999999999999996E-5</v>
      </c>
      <c r="J158">
        <f>Tabelle_alle_Kennzahlen[[#This Row],[publication year]]</f>
        <v>2016</v>
      </c>
      <c r="K158" t="s">
        <v>89</v>
      </c>
      <c r="L158" t="s">
        <v>154</v>
      </c>
    </row>
    <row r="159" spans="1:12" x14ac:dyDescent="0.3">
      <c r="A159">
        <v>157</v>
      </c>
      <c r="B159" t="s">
        <v>7</v>
      </c>
      <c r="C159">
        <v>2016</v>
      </c>
      <c r="D159" t="s">
        <v>151</v>
      </c>
      <c r="E159" t="s">
        <v>137</v>
      </c>
      <c r="F159" t="s">
        <v>6</v>
      </c>
      <c r="G159">
        <v>65</v>
      </c>
      <c r="H159" t="s">
        <v>4</v>
      </c>
      <c r="I159" s="74">
        <f>Tabelle_alle_Kennzahlen[[#This Row],[value (research)]]/10^6</f>
        <v>6.4999999999999994E-5</v>
      </c>
      <c r="J159">
        <f>Tabelle_alle_Kennzahlen[[#This Row],[publication year]]</f>
        <v>2016</v>
      </c>
      <c r="K159" t="s">
        <v>89</v>
      </c>
      <c r="L159" t="s">
        <v>154</v>
      </c>
    </row>
    <row r="160" spans="1:12" x14ac:dyDescent="0.3">
      <c r="A160">
        <v>158</v>
      </c>
      <c r="B160" t="s">
        <v>2</v>
      </c>
      <c r="C160">
        <v>2016</v>
      </c>
      <c r="D160" t="s">
        <v>142</v>
      </c>
      <c r="E160" t="s">
        <v>137</v>
      </c>
      <c r="F160" t="s">
        <v>3</v>
      </c>
      <c r="G160">
        <v>73091</v>
      </c>
      <c r="H160" t="s">
        <v>4</v>
      </c>
      <c r="I160" s="74">
        <f>Tabelle_alle_Kennzahlen[[#This Row],[value (research)]]/10^9</f>
        <v>7.3090999999999995E-5</v>
      </c>
      <c r="J160">
        <f>Tabelle_alle_Kennzahlen[[#This Row],[publication year]]</f>
        <v>2016</v>
      </c>
      <c r="K160" t="s">
        <v>89</v>
      </c>
      <c r="L160" t="s">
        <v>154</v>
      </c>
    </row>
    <row r="161" spans="1:12" x14ac:dyDescent="0.3">
      <c r="A161">
        <v>159</v>
      </c>
      <c r="B161" t="s">
        <v>2</v>
      </c>
      <c r="C161">
        <v>2016</v>
      </c>
      <c r="D161" t="s">
        <v>147</v>
      </c>
      <c r="E161" t="s">
        <v>137</v>
      </c>
      <c r="F161" t="s">
        <v>3</v>
      </c>
      <c r="G161">
        <v>74027</v>
      </c>
      <c r="H161" t="s">
        <v>4</v>
      </c>
      <c r="I161" s="74">
        <f>Tabelle_alle_Kennzahlen[[#This Row],[value (research)]]/10^9</f>
        <v>7.4027000000000001E-5</v>
      </c>
      <c r="J161">
        <f>Tabelle_alle_Kennzahlen[[#This Row],[publication year]]</f>
        <v>2016</v>
      </c>
      <c r="K161" t="s">
        <v>89</v>
      </c>
      <c r="L161" t="s">
        <v>154</v>
      </c>
    </row>
    <row r="162" spans="1:12" x14ac:dyDescent="0.3">
      <c r="A162">
        <v>160</v>
      </c>
      <c r="B162" t="s">
        <v>2</v>
      </c>
      <c r="C162">
        <v>2016</v>
      </c>
      <c r="D162" t="s">
        <v>150</v>
      </c>
      <c r="E162" t="s">
        <v>137</v>
      </c>
      <c r="F162" t="s">
        <v>3</v>
      </c>
      <c r="G162">
        <v>55944</v>
      </c>
      <c r="H162" t="s">
        <v>4</v>
      </c>
      <c r="I162" s="74">
        <f>Tabelle_alle_Kennzahlen[[#This Row],[value (research)]]/10^9</f>
        <v>5.5943999999999998E-5</v>
      </c>
      <c r="J162">
        <f>Tabelle_alle_Kennzahlen[[#This Row],[publication year]]</f>
        <v>2016</v>
      </c>
      <c r="K162" t="s">
        <v>89</v>
      </c>
      <c r="L162" t="s">
        <v>154</v>
      </c>
    </row>
    <row r="163" spans="1:12" x14ac:dyDescent="0.3">
      <c r="A163">
        <v>161</v>
      </c>
      <c r="B163" t="s">
        <v>2</v>
      </c>
      <c r="C163">
        <v>2016</v>
      </c>
      <c r="D163" t="s">
        <v>151</v>
      </c>
      <c r="E163" t="s">
        <v>137</v>
      </c>
      <c r="F163" t="s">
        <v>3</v>
      </c>
      <c r="G163">
        <v>65523</v>
      </c>
      <c r="H163" t="s">
        <v>4</v>
      </c>
      <c r="I163" s="74">
        <f>Tabelle_alle_Kennzahlen[[#This Row],[value (research)]]/10^9</f>
        <v>6.5523000000000003E-5</v>
      </c>
      <c r="J163">
        <f>Tabelle_alle_Kennzahlen[[#This Row],[publication year]]</f>
        <v>2016</v>
      </c>
      <c r="K163" t="s">
        <v>89</v>
      </c>
      <c r="L163" t="s">
        <v>154</v>
      </c>
    </row>
    <row r="164" spans="1:12" x14ac:dyDescent="0.3">
      <c r="A164">
        <v>162</v>
      </c>
      <c r="B164" t="s">
        <v>2</v>
      </c>
      <c r="C164">
        <v>2016</v>
      </c>
      <c r="D164" t="s">
        <v>30</v>
      </c>
      <c r="E164" t="s">
        <v>137</v>
      </c>
      <c r="F164" t="s">
        <v>3</v>
      </c>
      <c r="G164">
        <v>71607</v>
      </c>
      <c r="H164" t="s">
        <v>4</v>
      </c>
      <c r="I164" s="74">
        <f>Tabelle_alle_Kennzahlen[[#This Row],[value (research)]]/10^9</f>
        <v>7.1606999999999994E-5</v>
      </c>
      <c r="J164">
        <f>Tabelle_alle_Kennzahlen[[#This Row],[publication year]]</f>
        <v>2016</v>
      </c>
      <c r="K164" t="s">
        <v>89</v>
      </c>
      <c r="L164" t="s">
        <v>154</v>
      </c>
    </row>
    <row r="165" spans="1:12" x14ac:dyDescent="0.3">
      <c r="A165">
        <v>163</v>
      </c>
      <c r="B165" t="s">
        <v>2</v>
      </c>
      <c r="C165">
        <v>2016</v>
      </c>
      <c r="D165" t="s">
        <v>1</v>
      </c>
      <c r="E165" t="s">
        <v>137</v>
      </c>
      <c r="F165" t="s">
        <v>3</v>
      </c>
      <c r="G165">
        <v>70800</v>
      </c>
      <c r="H165" t="s">
        <v>4</v>
      </c>
      <c r="I165" s="74">
        <f>Tabelle_alle_Kennzahlen[[#This Row],[value (research)]]/10^9</f>
        <v>7.08E-5</v>
      </c>
      <c r="J165">
        <f>Tabelle_alle_Kennzahlen[[#This Row],[publication year]]</f>
        <v>2016</v>
      </c>
      <c r="K165" t="s">
        <v>89</v>
      </c>
      <c r="L165" t="s">
        <v>154</v>
      </c>
    </row>
    <row r="166" spans="1:12" x14ac:dyDescent="0.3">
      <c r="A166">
        <v>164</v>
      </c>
      <c r="B166" s="16" t="s">
        <v>39</v>
      </c>
      <c r="C166">
        <v>2017</v>
      </c>
      <c r="D166" t="s">
        <v>150</v>
      </c>
      <c r="E166" t="s">
        <v>136</v>
      </c>
      <c r="F166" t="s">
        <v>40</v>
      </c>
      <c r="G166">
        <v>12500</v>
      </c>
      <c r="H166" t="s">
        <v>158</v>
      </c>
      <c r="I166" s="13">
        <f>Tabelle_alle_Kennzahlen[[#This Row],[value (research)]]/1000000*'2'!E22</f>
        <v>0.59107782471740566</v>
      </c>
      <c r="J166">
        <v>2015</v>
      </c>
      <c r="K166" t="s">
        <v>89</v>
      </c>
      <c r="L166" t="s">
        <v>154</v>
      </c>
    </row>
    <row r="167" spans="1:12" x14ac:dyDescent="0.3">
      <c r="A167">
        <v>165</v>
      </c>
      <c r="B167" s="16" t="s">
        <v>39</v>
      </c>
      <c r="C167">
        <v>2017</v>
      </c>
      <c r="D167" t="s">
        <v>150</v>
      </c>
      <c r="E167" t="s">
        <v>136</v>
      </c>
      <c r="F167" t="s">
        <v>40</v>
      </c>
      <c r="G167">
        <v>18500</v>
      </c>
      <c r="H167" t="s">
        <v>158</v>
      </c>
      <c r="I167" s="13">
        <f>Tabelle_alle_Kennzahlen[[#This Row],[value (research)]]/1000000*'2'!E22</f>
        <v>0.8747951805817602</v>
      </c>
      <c r="J167">
        <v>2015</v>
      </c>
      <c r="K167" t="s">
        <v>89</v>
      </c>
      <c r="L167" t="s">
        <v>154</v>
      </c>
    </row>
    <row r="168" spans="1:12" x14ac:dyDescent="0.3">
      <c r="A168">
        <v>166</v>
      </c>
      <c r="B168" s="16" t="s">
        <v>39</v>
      </c>
      <c r="C168">
        <v>2017</v>
      </c>
      <c r="D168" t="s">
        <v>150</v>
      </c>
      <c r="E168" t="s">
        <v>136</v>
      </c>
      <c r="F168" t="s">
        <v>40</v>
      </c>
      <c r="G168">
        <v>28000</v>
      </c>
      <c r="H168" t="s">
        <v>158</v>
      </c>
      <c r="I168" s="13">
        <f>Tabelle_alle_Kennzahlen[[#This Row],[value (research)]]/1000000*'2'!E22</f>
        <v>1.3240143273669887</v>
      </c>
      <c r="J168">
        <v>2015</v>
      </c>
      <c r="K168" t="s">
        <v>89</v>
      </c>
      <c r="L168" t="s">
        <v>154</v>
      </c>
    </row>
    <row r="169" spans="1:12" x14ac:dyDescent="0.3">
      <c r="A169">
        <v>167</v>
      </c>
      <c r="B169" s="16" t="s">
        <v>39</v>
      </c>
      <c r="C169">
        <v>2017</v>
      </c>
      <c r="D169" t="s">
        <v>150</v>
      </c>
      <c r="E169" t="s">
        <v>136</v>
      </c>
      <c r="F169" t="s">
        <v>40</v>
      </c>
      <c r="G169">
        <v>19000</v>
      </c>
      <c r="H169" t="s">
        <v>158</v>
      </c>
      <c r="I169" s="13">
        <f>Tabelle_alle_Kennzahlen[[#This Row],[value (research)]]/1000000*'2'!E22</f>
        <v>0.89843829357045646</v>
      </c>
      <c r="J169">
        <v>2015</v>
      </c>
      <c r="K169" t="s">
        <v>89</v>
      </c>
      <c r="L169" t="s">
        <v>154</v>
      </c>
    </row>
    <row r="170" spans="1:12" x14ac:dyDescent="0.3">
      <c r="A170">
        <v>137</v>
      </c>
      <c r="B170" t="s">
        <v>51</v>
      </c>
      <c r="C170">
        <v>2015</v>
      </c>
      <c r="D170" t="s">
        <v>147</v>
      </c>
      <c r="E170" t="s">
        <v>136</v>
      </c>
      <c r="F170" t="s">
        <v>40</v>
      </c>
      <c r="G170">
        <v>11.3</v>
      </c>
      <c r="H170" t="s">
        <v>158</v>
      </c>
      <c r="I170" s="13">
        <f>Tabelle_alle_Kennzahlen[[#This Row],[value (research)]]/1000*'2'!E13</f>
        <v>0.48505877777777778</v>
      </c>
      <c r="J170">
        <f>Tabelle_alle_Kennzahlen[[#This Row],[publication year]]</f>
        <v>2015</v>
      </c>
      <c r="K170" t="s">
        <v>89</v>
      </c>
      <c r="L170" t="s">
        <v>154</v>
      </c>
    </row>
    <row r="171" spans="1:12" x14ac:dyDescent="0.3">
      <c r="A171">
        <v>169</v>
      </c>
      <c r="B171" t="s">
        <v>24</v>
      </c>
      <c r="C171">
        <v>2017</v>
      </c>
      <c r="D171" t="s">
        <v>142</v>
      </c>
      <c r="E171" t="s">
        <v>168</v>
      </c>
      <c r="F171" t="s">
        <v>14</v>
      </c>
      <c r="G171">
        <v>41</v>
      </c>
      <c r="H171" t="s">
        <v>14</v>
      </c>
      <c r="I171" s="4">
        <f>Tabelle_alle_Kennzahlen[[#This Row],[value (research)]]</f>
        <v>41</v>
      </c>
      <c r="J171">
        <f>Tabelle_alle_Kennzahlen[[#This Row],[publication year]]</f>
        <v>2017</v>
      </c>
      <c r="K171" t="s">
        <v>89</v>
      </c>
      <c r="L171" t="s">
        <v>154</v>
      </c>
    </row>
    <row r="172" spans="1:12" x14ac:dyDescent="0.3">
      <c r="A172">
        <v>170</v>
      </c>
      <c r="B172" t="s">
        <v>25</v>
      </c>
      <c r="C172">
        <v>2017</v>
      </c>
      <c r="D172" t="s">
        <v>147</v>
      </c>
      <c r="E172" t="s">
        <v>168</v>
      </c>
      <c r="F172" t="s">
        <v>14</v>
      </c>
      <c r="G172">
        <v>43</v>
      </c>
      <c r="H172" t="s">
        <v>14</v>
      </c>
      <c r="I172" s="4">
        <f>Tabelle_alle_Kennzahlen[[#This Row],[value (research)]]</f>
        <v>43</v>
      </c>
      <c r="J172">
        <f>Tabelle_alle_Kennzahlen[[#This Row],[publication year]]</f>
        <v>2017</v>
      </c>
      <c r="K172" t="s">
        <v>89</v>
      </c>
      <c r="L172" t="s">
        <v>154</v>
      </c>
    </row>
    <row r="173" spans="1:12" x14ac:dyDescent="0.3">
      <c r="A173">
        <v>171</v>
      </c>
      <c r="B173" t="s">
        <v>23</v>
      </c>
      <c r="C173">
        <v>2017</v>
      </c>
      <c r="D173" t="s">
        <v>150</v>
      </c>
      <c r="E173" t="s">
        <v>168</v>
      </c>
      <c r="F173" t="s">
        <v>14</v>
      </c>
      <c r="G173">
        <v>47.7</v>
      </c>
      <c r="H173" t="s">
        <v>14</v>
      </c>
      <c r="I173" s="2">
        <f>Tabelle_alle_Kennzahlen[[#This Row],[value (research)]]</f>
        <v>47.7</v>
      </c>
      <c r="J173">
        <f>Tabelle_alle_Kennzahlen[[#This Row],[publication year]]</f>
        <v>2017</v>
      </c>
      <c r="K173" t="s">
        <v>89</v>
      </c>
      <c r="L173" t="s">
        <v>154</v>
      </c>
    </row>
    <row r="174" spans="1:12" x14ac:dyDescent="0.3">
      <c r="A174">
        <v>172</v>
      </c>
      <c r="B174" t="s">
        <v>26</v>
      </c>
      <c r="C174">
        <v>2017</v>
      </c>
      <c r="D174" t="s">
        <v>151</v>
      </c>
      <c r="E174" t="s">
        <v>168</v>
      </c>
      <c r="F174" t="s">
        <v>14</v>
      </c>
      <c r="G174" s="2">
        <v>45.8</v>
      </c>
      <c r="H174" t="s">
        <v>14</v>
      </c>
      <c r="I174" s="2">
        <f>Tabelle_alle_Kennzahlen[[#This Row],[value (research)]]</f>
        <v>45.8</v>
      </c>
      <c r="J174">
        <f>Tabelle_alle_Kennzahlen[[#This Row],[publication year]]</f>
        <v>2017</v>
      </c>
      <c r="K174" t="s">
        <v>89</v>
      </c>
      <c r="L174" t="s">
        <v>154</v>
      </c>
    </row>
    <row r="175" spans="1:12" x14ac:dyDescent="0.3">
      <c r="A175">
        <v>173</v>
      </c>
      <c r="B175" t="s">
        <v>27</v>
      </c>
      <c r="C175">
        <v>2017</v>
      </c>
      <c r="D175" t="s">
        <v>152</v>
      </c>
      <c r="E175" t="s">
        <v>168</v>
      </c>
      <c r="F175" t="s">
        <v>14</v>
      </c>
      <c r="G175" s="2">
        <v>119.97</v>
      </c>
      <c r="H175" t="s">
        <v>14</v>
      </c>
      <c r="I175" s="2">
        <f>Tabelle_alle_Kennzahlen[[#This Row],[value (research)]]</f>
        <v>119.97</v>
      </c>
      <c r="J175">
        <f>Tabelle_alle_Kennzahlen[[#This Row],[publication year]]</f>
        <v>2017</v>
      </c>
      <c r="K175" t="s">
        <v>89</v>
      </c>
      <c r="L175" t="s">
        <v>154</v>
      </c>
    </row>
    <row r="176" spans="1:12" x14ac:dyDescent="0.3">
      <c r="A176">
        <v>174</v>
      </c>
      <c r="B176" t="s">
        <v>8</v>
      </c>
      <c r="C176">
        <v>2017</v>
      </c>
      <c r="D176" t="s">
        <v>142</v>
      </c>
      <c r="E176" t="s">
        <v>137</v>
      </c>
      <c r="F176" t="s">
        <v>6</v>
      </c>
      <c r="G176">
        <v>72</v>
      </c>
      <c r="H176" t="s">
        <v>4</v>
      </c>
      <c r="I176" s="74">
        <f>Tabelle_alle_Kennzahlen[[#This Row],[value (research)]]/10^6</f>
        <v>7.2000000000000002E-5</v>
      </c>
      <c r="J176">
        <f>Tabelle_alle_Kennzahlen[[#This Row],[publication year]]</f>
        <v>2017</v>
      </c>
      <c r="K176" t="s">
        <v>89</v>
      </c>
      <c r="L176" t="s">
        <v>154</v>
      </c>
    </row>
    <row r="177" spans="1:12" x14ac:dyDescent="0.3">
      <c r="A177">
        <v>175</v>
      </c>
      <c r="B177" t="s">
        <v>28</v>
      </c>
      <c r="C177">
        <v>2018</v>
      </c>
      <c r="D177" t="s">
        <v>142</v>
      </c>
      <c r="E177" t="s">
        <v>168</v>
      </c>
      <c r="F177" t="s">
        <v>14</v>
      </c>
      <c r="G177">
        <v>42.9</v>
      </c>
      <c r="H177" t="s">
        <v>14</v>
      </c>
      <c r="I177" s="4">
        <f>Tabelle_alle_Kennzahlen[[#This Row],[value (research)]]</f>
        <v>42.9</v>
      </c>
      <c r="J177">
        <f>Tabelle_alle_Kennzahlen[[#This Row],[publication year]]</f>
        <v>2018</v>
      </c>
      <c r="K177" t="s">
        <v>89</v>
      </c>
      <c r="L177" t="s">
        <v>154</v>
      </c>
    </row>
    <row r="178" spans="1:12" x14ac:dyDescent="0.3">
      <c r="A178">
        <v>176</v>
      </c>
      <c r="B178" t="s">
        <v>28</v>
      </c>
      <c r="C178">
        <v>2018</v>
      </c>
      <c r="D178" t="s">
        <v>150</v>
      </c>
      <c r="E178" t="s">
        <v>168</v>
      </c>
      <c r="F178" t="s">
        <v>14</v>
      </c>
      <c r="G178">
        <v>47.1</v>
      </c>
      <c r="H178" t="s">
        <v>14</v>
      </c>
      <c r="I178" s="2">
        <f>Tabelle_alle_Kennzahlen[[#This Row],[value (research)]]</f>
        <v>47.1</v>
      </c>
      <c r="J178">
        <f>Tabelle_alle_Kennzahlen[[#This Row],[publication year]]</f>
        <v>2018</v>
      </c>
      <c r="K178" t="s">
        <v>89</v>
      </c>
      <c r="L178" t="s">
        <v>154</v>
      </c>
    </row>
    <row r="179" spans="1:12" x14ac:dyDescent="0.3">
      <c r="A179">
        <v>177</v>
      </c>
      <c r="B179" t="s">
        <v>28</v>
      </c>
      <c r="C179">
        <v>2018</v>
      </c>
      <c r="D179" t="s">
        <v>147</v>
      </c>
      <c r="E179" t="s">
        <v>168</v>
      </c>
      <c r="F179" t="s">
        <v>14</v>
      </c>
      <c r="G179">
        <v>44.41</v>
      </c>
      <c r="H179" t="s">
        <v>14</v>
      </c>
      <c r="I179" s="4">
        <f>Tabelle_alle_Kennzahlen[[#This Row],[value (research)]]</f>
        <v>44.41</v>
      </c>
      <c r="J179">
        <f>Tabelle_alle_Kennzahlen[[#This Row],[publication year]]</f>
        <v>2018</v>
      </c>
      <c r="K179" t="s">
        <v>89</v>
      </c>
      <c r="L179" t="s">
        <v>154</v>
      </c>
    </row>
    <row r="180" spans="1:12" x14ac:dyDescent="0.3">
      <c r="A180">
        <v>178</v>
      </c>
      <c r="B180" t="s">
        <v>11</v>
      </c>
      <c r="C180">
        <v>2018</v>
      </c>
      <c r="D180" t="s">
        <v>150</v>
      </c>
      <c r="E180" t="s">
        <v>168</v>
      </c>
      <c r="F180" t="s">
        <v>16</v>
      </c>
      <c r="G180">
        <v>35.588000000000001</v>
      </c>
      <c r="H180" t="s">
        <v>14</v>
      </c>
      <c r="I180" s="72"/>
      <c r="J180">
        <f>Tabelle_alle_Kennzahlen[[#This Row],[publication year]]</f>
        <v>2018</v>
      </c>
      <c r="K180" t="s">
        <v>89</v>
      </c>
      <c r="L180" t="s">
        <v>156</v>
      </c>
    </row>
    <row r="181" spans="1:12" x14ac:dyDescent="0.3">
      <c r="A181">
        <v>179</v>
      </c>
      <c r="B181" t="s">
        <v>11</v>
      </c>
      <c r="C181">
        <v>2018</v>
      </c>
      <c r="D181" t="s">
        <v>150</v>
      </c>
      <c r="E181" t="s">
        <v>168</v>
      </c>
      <c r="F181" t="s">
        <v>16</v>
      </c>
      <c r="G181">
        <v>39.774999999999999</v>
      </c>
      <c r="H181" t="s">
        <v>14</v>
      </c>
      <c r="I181" s="2">
        <f>Tabelle_alle_Kennzahlen[[#This Row],[value (research)]]/'2'!E24/1000</f>
        <v>51.05484177225933</v>
      </c>
      <c r="J181">
        <f>Tabelle_alle_Kennzahlen[[#This Row],[publication year]]</f>
        <v>2018</v>
      </c>
      <c r="K181" t="s">
        <v>89</v>
      </c>
      <c r="L181" t="s">
        <v>154</v>
      </c>
    </row>
    <row r="182" spans="1:12" x14ac:dyDescent="0.3">
      <c r="A182">
        <v>180</v>
      </c>
      <c r="B182" t="s">
        <v>11</v>
      </c>
      <c r="C182">
        <v>2018</v>
      </c>
      <c r="D182" t="s">
        <v>151</v>
      </c>
      <c r="E182" t="s">
        <v>134</v>
      </c>
      <c r="F182" t="s">
        <v>33</v>
      </c>
      <c r="G182">
        <v>0.57999999999999996</v>
      </c>
      <c r="H182" t="s">
        <v>19</v>
      </c>
      <c r="I182" s="2">
        <f>Tabelle_alle_Kennzahlen[[#This Row],[value (research)]]</f>
        <v>0.57999999999999996</v>
      </c>
      <c r="J182">
        <f>Tabelle_alle_Kennzahlen[[#This Row],[publication year]]</f>
        <v>2018</v>
      </c>
      <c r="K182" t="s">
        <v>89</v>
      </c>
      <c r="L182" t="s">
        <v>154</v>
      </c>
    </row>
    <row r="183" spans="1:12" x14ac:dyDescent="0.3">
      <c r="A183">
        <v>181</v>
      </c>
      <c r="B183" t="s">
        <v>11</v>
      </c>
      <c r="C183">
        <v>2018</v>
      </c>
      <c r="D183" t="s">
        <v>151</v>
      </c>
      <c r="E183" t="s">
        <v>168</v>
      </c>
      <c r="F183" t="s">
        <v>14</v>
      </c>
      <c r="G183" s="2">
        <v>46</v>
      </c>
      <c r="H183" t="s">
        <v>14</v>
      </c>
      <c r="I183" s="2">
        <v>46</v>
      </c>
      <c r="J183">
        <f>Tabelle_alle_Kennzahlen[[#This Row],[publication year]]</f>
        <v>2018</v>
      </c>
      <c r="K183" t="s">
        <v>89</v>
      </c>
      <c r="L183" t="s">
        <v>154</v>
      </c>
    </row>
    <row r="184" spans="1:12" x14ac:dyDescent="0.3">
      <c r="A184">
        <v>182</v>
      </c>
      <c r="B184" t="s">
        <v>11</v>
      </c>
      <c r="C184">
        <v>2018</v>
      </c>
      <c r="D184" t="s">
        <v>142</v>
      </c>
      <c r="E184" t="s">
        <v>168</v>
      </c>
      <c r="F184" t="s">
        <v>14</v>
      </c>
      <c r="G184">
        <v>42.5</v>
      </c>
      <c r="H184" t="s">
        <v>14</v>
      </c>
      <c r="I184" s="4">
        <v>42.5</v>
      </c>
      <c r="J184">
        <f>Tabelle_alle_Kennzahlen[[#This Row],[publication year]]</f>
        <v>2018</v>
      </c>
      <c r="K184" t="s">
        <v>89</v>
      </c>
      <c r="L184" t="s">
        <v>154</v>
      </c>
    </row>
    <row r="185" spans="1:12" x14ac:dyDescent="0.3">
      <c r="A185">
        <v>183</v>
      </c>
      <c r="B185" t="s">
        <v>11</v>
      </c>
      <c r="C185">
        <v>2018</v>
      </c>
      <c r="D185" t="s">
        <v>142</v>
      </c>
      <c r="E185" t="s">
        <v>134</v>
      </c>
      <c r="F185" t="s">
        <v>33</v>
      </c>
      <c r="G185">
        <v>0.76</v>
      </c>
      <c r="H185" t="s">
        <v>19</v>
      </c>
      <c r="I185" s="4">
        <f>Tabelle_alle_Kennzahlen[[#This Row],[value (research)]]</f>
        <v>0.76</v>
      </c>
      <c r="J185">
        <f>Tabelle_alle_Kennzahlen[[#This Row],[publication year]]</f>
        <v>2018</v>
      </c>
      <c r="K185" t="s">
        <v>89</v>
      </c>
      <c r="L185" t="s">
        <v>154</v>
      </c>
    </row>
    <row r="186" spans="1:12" x14ac:dyDescent="0.3">
      <c r="A186">
        <v>184</v>
      </c>
      <c r="B186" t="s">
        <v>11</v>
      </c>
      <c r="C186">
        <v>2018</v>
      </c>
      <c r="D186" t="s">
        <v>149</v>
      </c>
      <c r="E186" t="s">
        <v>134</v>
      </c>
      <c r="F186" t="s">
        <v>33</v>
      </c>
      <c r="G186">
        <v>0.83</v>
      </c>
      <c r="H186" t="s">
        <v>19</v>
      </c>
      <c r="I186" s="4">
        <f>Tabelle_alle_Kennzahlen[[#This Row],[value (research)]]</f>
        <v>0.83</v>
      </c>
      <c r="J186">
        <f>Tabelle_alle_Kennzahlen[[#This Row],[publication year]]</f>
        <v>2018</v>
      </c>
      <c r="K186" t="s">
        <v>89</v>
      </c>
      <c r="L186" t="s">
        <v>154</v>
      </c>
    </row>
    <row r="187" spans="1:12" x14ac:dyDescent="0.3">
      <c r="A187">
        <v>185</v>
      </c>
      <c r="B187" t="s">
        <v>36</v>
      </c>
      <c r="C187">
        <v>2018</v>
      </c>
      <c r="D187" t="s">
        <v>150</v>
      </c>
      <c r="E187" t="s">
        <v>134</v>
      </c>
      <c r="F187" t="s">
        <v>35</v>
      </c>
      <c r="G187" s="13">
        <v>0.84212842109763497</v>
      </c>
      <c r="H187" t="s">
        <v>19</v>
      </c>
      <c r="I187" s="71">
        <f>Tabelle_alle_Kennzahlen[[#This Row],[value (research)]]/1000</f>
        <v>8.4212842109763499E-4</v>
      </c>
      <c r="J187">
        <f>Tabelle_alle_Kennzahlen[[#This Row],[publication year]]</f>
        <v>2018</v>
      </c>
      <c r="K187" t="s">
        <v>89</v>
      </c>
      <c r="L187" t="s">
        <v>154</v>
      </c>
    </row>
    <row r="188" spans="1:12" x14ac:dyDescent="0.3">
      <c r="A188">
        <v>186</v>
      </c>
      <c r="B188" t="s">
        <v>76</v>
      </c>
      <c r="C188">
        <v>2019</v>
      </c>
      <c r="D188" t="s">
        <v>142</v>
      </c>
      <c r="E188" t="s">
        <v>136</v>
      </c>
      <c r="F188" t="s">
        <v>158</v>
      </c>
      <c r="G188">
        <v>0.76329000000000002</v>
      </c>
      <c r="H188" t="s">
        <v>158</v>
      </c>
      <c r="I188" s="13">
        <f>Tabelle_alle_Kennzahlen[[#This Row],[value (research)]]</f>
        <v>0.76329000000000002</v>
      </c>
      <c r="J188">
        <f>Tabelle_alle_Kennzahlen[[#This Row],[publication year]]</f>
        <v>2019</v>
      </c>
      <c r="K188" t="s">
        <v>89</v>
      </c>
      <c r="L188" t="s">
        <v>154</v>
      </c>
    </row>
    <row r="189" spans="1:12" x14ac:dyDescent="0.3">
      <c r="A189">
        <v>211</v>
      </c>
      <c r="B189" t="s">
        <v>68</v>
      </c>
      <c r="C189">
        <v>2006</v>
      </c>
      <c r="D189" t="s">
        <v>147</v>
      </c>
      <c r="E189" t="s">
        <v>136</v>
      </c>
      <c r="F189" t="s">
        <v>53</v>
      </c>
      <c r="G189">
        <v>20</v>
      </c>
      <c r="H189" t="s">
        <v>158</v>
      </c>
      <c r="I189" s="13">
        <f>Tabelle_alle_Kennzahlen[[#This Row],[value (research)]]/1000/3.6*100/49*'2'!$E$13</f>
        <v>0.48668430335097002</v>
      </c>
      <c r="J189">
        <f>Tabelle_alle_Kennzahlen[[#This Row],[publication year]]</f>
        <v>2006</v>
      </c>
      <c r="K189" t="s">
        <v>89</v>
      </c>
      <c r="L189" t="s">
        <v>154</v>
      </c>
    </row>
    <row r="190" spans="1:12" x14ac:dyDescent="0.3">
      <c r="A190">
        <v>188</v>
      </c>
      <c r="B190" t="s">
        <v>11</v>
      </c>
      <c r="C190">
        <v>2019</v>
      </c>
      <c r="D190" t="s">
        <v>147</v>
      </c>
      <c r="E190" t="s">
        <v>168</v>
      </c>
      <c r="F190" t="s">
        <v>14</v>
      </c>
      <c r="G190">
        <v>43</v>
      </c>
      <c r="H190" t="s">
        <v>14</v>
      </c>
      <c r="I190" s="4">
        <f>Tabelle_alle_Kennzahlen[[#This Row],[value (research)]]</f>
        <v>43</v>
      </c>
      <c r="J190">
        <f>Tabelle_alle_Kennzahlen[[#This Row],[publication year]]</f>
        <v>2019</v>
      </c>
      <c r="K190" t="s">
        <v>89</v>
      </c>
      <c r="L190" t="s">
        <v>154</v>
      </c>
    </row>
    <row r="191" spans="1:12" x14ac:dyDescent="0.3">
      <c r="A191">
        <v>103</v>
      </c>
      <c r="B191" t="s">
        <v>47</v>
      </c>
      <c r="C191">
        <v>2014</v>
      </c>
      <c r="D191" t="s">
        <v>152</v>
      </c>
      <c r="E191" t="s">
        <v>136</v>
      </c>
      <c r="F191" t="s">
        <v>6</v>
      </c>
      <c r="G191">
        <v>109</v>
      </c>
      <c r="H191" t="s">
        <v>158</v>
      </c>
      <c r="I191" s="4">
        <f>Tabelle_alle_Kennzahlen[[#This Row],[value (research)]]/1000*'2'!$E$58</f>
        <v>13.1127</v>
      </c>
      <c r="J191">
        <f>Tabelle_alle_Kennzahlen[[#This Row],[publication year]]</f>
        <v>2014</v>
      </c>
      <c r="K191" t="s">
        <v>89</v>
      </c>
      <c r="L191" t="s">
        <v>154</v>
      </c>
    </row>
    <row r="192" spans="1:12" x14ac:dyDescent="0.3">
      <c r="A192">
        <v>111</v>
      </c>
      <c r="B192" t="s">
        <v>49</v>
      </c>
      <c r="C192">
        <v>2014</v>
      </c>
      <c r="D192" t="s">
        <v>152</v>
      </c>
      <c r="E192" t="s">
        <v>136</v>
      </c>
      <c r="F192" t="s">
        <v>6</v>
      </c>
      <c r="G192">
        <v>109</v>
      </c>
      <c r="H192" t="s">
        <v>158</v>
      </c>
      <c r="I192" s="4">
        <f>Tabelle_alle_Kennzahlen[[#This Row],[value (research)]]/1000*'2'!$E$58</f>
        <v>13.1127</v>
      </c>
      <c r="J192">
        <f>Tabelle_alle_Kennzahlen[[#This Row],[publication year]]</f>
        <v>2014</v>
      </c>
      <c r="K192" t="s">
        <v>89</v>
      </c>
      <c r="L192" t="s">
        <v>154</v>
      </c>
    </row>
    <row r="193" spans="1:12" x14ac:dyDescent="0.3">
      <c r="A193">
        <v>106</v>
      </c>
      <c r="B193" t="s">
        <v>47</v>
      </c>
      <c r="C193">
        <v>2014</v>
      </c>
      <c r="D193" t="s">
        <v>152</v>
      </c>
      <c r="E193" t="s">
        <v>136</v>
      </c>
      <c r="F193" t="s">
        <v>6</v>
      </c>
      <c r="G193">
        <v>112</v>
      </c>
      <c r="H193" t="s">
        <v>158</v>
      </c>
      <c r="I193" s="4">
        <f>Tabelle_alle_Kennzahlen[[#This Row],[value (research)]]/1000*'2'!$E$58</f>
        <v>13.473599999999999</v>
      </c>
      <c r="J193">
        <f>Tabelle_alle_Kennzahlen[[#This Row],[publication year]]</f>
        <v>2014</v>
      </c>
      <c r="K193" t="s">
        <v>89</v>
      </c>
      <c r="L193" t="s">
        <v>154</v>
      </c>
    </row>
    <row r="194" spans="1:12" x14ac:dyDescent="0.3">
      <c r="A194">
        <v>192</v>
      </c>
      <c r="B194" t="s">
        <v>115</v>
      </c>
      <c r="D194" t="s">
        <v>30</v>
      </c>
      <c r="E194" t="s">
        <v>136</v>
      </c>
      <c r="F194" t="s">
        <v>158</v>
      </c>
      <c r="G194">
        <v>1.05297</v>
      </c>
      <c r="H194" t="s">
        <v>158</v>
      </c>
      <c r="I194" s="13">
        <f>Tabelle_alle_Kennzahlen[[#This Row],[value (research)]]</f>
        <v>1.05297</v>
      </c>
      <c r="K194" t="s">
        <v>89</v>
      </c>
      <c r="L194" t="s">
        <v>156</v>
      </c>
    </row>
    <row r="195" spans="1:12" x14ac:dyDescent="0.3">
      <c r="A195">
        <v>193</v>
      </c>
      <c r="B195" t="s">
        <v>115</v>
      </c>
      <c r="D195" t="s">
        <v>1</v>
      </c>
      <c r="E195" t="s">
        <v>136</v>
      </c>
      <c r="F195" t="s">
        <v>158</v>
      </c>
      <c r="G195">
        <v>1.58406</v>
      </c>
      <c r="H195" t="s">
        <v>158</v>
      </c>
      <c r="I195" s="13">
        <f>Tabelle_alle_Kennzahlen[[#This Row],[value (research)]]</f>
        <v>1.58406</v>
      </c>
      <c r="K195" t="s">
        <v>89</v>
      </c>
      <c r="L195" t="s">
        <v>156</v>
      </c>
    </row>
    <row r="196" spans="1:12" x14ac:dyDescent="0.3">
      <c r="A196">
        <v>194</v>
      </c>
      <c r="B196" t="s">
        <v>10</v>
      </c>
      <c r="C196">
        <v>2008</v>
      </c>
      <c r="D196" t="s">
        <v>142</v>
      </c>
      <c r="E196" t="s">
        <v>136</v>
      </c>
      <c r="F196" t="s">
        <v>5</v>
      </c>
      <c r="G196">
        <v>638</v>
      </c>
      <c r="H196" t="s">
        <v>158</v>
      </c>
      <c r="I196" s="13">
        <f>Tabelle_alle_Kennzahlen[[#This Row],[value (research)]]/1000/'2'!$E$6</f>
        <v>0.85608856088560892</v>
      </c>
      <c r="J196">
        <f>Tabelle_alle_Kennzahlen[[#This Row],[publication year]]</f>
        <v>2008</v>
      </c>
      <c r="K196" t="s">
        <v>89</v>
      </c>
      <c r="L196" t="s">
        <v>154</v>
      </c>
    </row>
    <row r="197" spans="1:12" x14ac:dyDescent="0.3">
      <c r="A197">
        <v>240</v>
      </c>
      <c r="B197" t="s">
        <v>77</v>
      </c>
      <c r="C197">
        <v>2011</v>
      </c>
      <c r="D197" t="s">
        <v>147</v>
      </c>
      <c r="E197" t="s">
        <v>136</v>
      </c>
      <c r="F197" t="s">
        <v>6</v>
      </c>
      <c r="G197">
        <v>12</v>
      </c>
      <c r="H197" t="s">
        <v>158</v>
      </c>
      <c r="I197" s="13">
        <f>Tabelle_alle_Kennzahlen[[#This Row],[value (research)]]/1000*'2'!$E$13</f>
        <v>0.51510666666666671</v>
      </c>
      <c r="J197">
        <v>2010</v>
      </c>
      <c r="K197" t="s">
        <v>89</v>
      </c>
      <c r="L197" t="s">
        <v>154</v>
      </c>
    </row>
    <row r="198" spans="1:12" x14ac:dyDescent="0.3">
      <c r="A198">
        <v>196</v>
      </c>
      <c r="B198" t="s">
        <v>10</v>
      </c>
      <c r="C198">
        <v>2008</v>
      </c>
      <c r="D198" t="s">
        <v>30</v>
      </c>
      <c r="E198" t="s">
        <v>136</v>
      </c>
      <c r="F198" t="s">
        <v>160</v>
      </c>
      <c r="G198">
        <v>130</v>
      </c>
      <c r="H198" t="s">
        <v>158</v>
      </c>
      <c r="I198" s="13">
        <f>Tabelle_alle_Kennzahlen[[#This Row],[value (research)]]/3.6/1000*'2'!$E$40</f>
        <v>0.96732638888888889</v>
      </c>
      <c r="J198">
        <f>Tabelle_alle_Kennzahlen[[#This Row],[publication year]]</f>
        <v>2008</v>
      </c>
      <c r="K198" t="s">
        <v>89</v>
      </c>
      <c r="L198" t="s">
        <v>154</v>
      </c>
    </row>
    <row r="199" spans="1:12" x14ac:dyDescent="0.3">
      <c r="A199">
        <v>197</v>
      </c>
      <c r="B199" t="s">
        <v>10</v>
      </c>
      <c r="C199">
        <v>2008</v>
      </c>
      <c r="D199" t="s">
        <v>1</v>
      </c>
      <c r="E199" t="s">
        <v>136</v>
      </c>
      <c r="F199" t="s">
        <v>160</v>
      </c>
      <c r="G199">
        <v>150</v>
      </c>
      <c r="H199" t="s">
        <v>158</v>
      </c>
      <c r="I199" s="13">
        <f>Tabelle_alle_Kennzahlen[[#This Row],[value (research)]]/3.6/1000*'2'!$E$49</f>
        <v>1.5517499999999997</v>
      </c>
      <c r="J199">
        <f>Tabelle_alle_Kennzahlen[[#This Row],[publication year]]</f>
        <v>2008</v>
      </c>
      <c r="K199" t="s">
        <v>89</v>
      </c>
      <c r="L199" t="s">
        <v>154</v>
      </c>
    </row>
    <row r="200" spans="1:12" x14ac:dyDescent="0.3">
      <c r="A200">
        <v>198</v>
      </c>
      <c r="B200" t="s">
        <v>10</v>
      </c>
      <c r="C200">
        <v>2008</v>
      </c>
      <c r="D200" t="s">
        <v>142</v>
      </c>
      <c r="E200" t="s">
        <v>137</v>
      </c>
      <c r="F200" t="s">
        <v>5</v>
      </c>
      <c r="G200">
        <v>2333</v>
      </c>
      <c r="H200" t="s">
        <v>4</v>
      </c>
      <c r="I200" s="74">
        <f>Tabelle_alle_Kennzahlen[[#This Row],[value (research)]]/0.742/'2'!E4/10^6</f>
        <v>7.3159607818509481E-5</v>
      </c>
      <c r="J200">
        <f>Tabelle_alle_Kennzahlen[[#This Row],[publication year]]</f>
        <v>2008</v>
      </c>
      <c r="K200" t="s">
        <v>89</v>
      </c>
      <c r="L200" t="s">
        <v>154</v>
      </c>
    </row>
    <row r="201" spans="1:12" x14ac:dyDescent="0.3">
      <c r="A201">
        <v>199</v>
      </c>
      <c r="B201" t="s">
        <v>10</v>
      </c>
      <c r="C201">
        <v>2008</v>
      </c>
      <c r="D201" t="s">
        <v>147</v>
      </c>
      <c r="E201" t="s">
        <v>137</v>
      </c>
      <c r="F201" t="s">
        <v>5</v>
      </c>
      <c r="G201">
        <v>2637</v>
      </c>
      <c r="H201" t="s">
        <v>4</v>
      </c>
      <c r="I201" s="74">
        <f>Tabelle_alle_Kennzahlen[[#This Row],[value (research)]]/0.832/'2'!E13/10^6</f>
        <v>7.3836462052171429E-5</v>
      </c>
      <c r="J201">
        <f>Tabelle_alle_Kennzahlen[[#This Row],[publication year]]</f>
        <v>2008</v>
      </c>
      <c r="K201" t="s">
        <v>89</v>
      </c>
      <c r="L201" t="s">
        <v>154</v>
      </c>
    </row>
    <row r="202" spans="1:12" x14ac:dyDescent="0.3">
      <c r="A202">
        <v>200</v>
      </c>
      <c r="B202" t="s">
        <v>10</v>
      </c>
      <c r="C202">
        <v>2008</v>
      </c>
      <c r="D202" t="s">
        <v>151</v>
      </c>
      <c r="E202" t="s">
        <v>137</v>
      </c>
      <c r="F202" t="s">
        <v>5</v>
      </c>
      <c r="G202">
        <v>1544</v>
      </c>
      <c r="H202" t="s">
        <v>4</v>
      </c>
      <c r="I202" s="74">
        <f>Tabelle_alle_Kennzahlen[[#This Row],[value (research)]]/'2'!$E$33/'2'!$E$31/10^6</f>
        <v>5.6902816549373403E-5</v>
      </c>
      <c r="J202">
        <f>Tabelle_alle_Kennzahlen[[#This Row],[publication year]]</f>
        <v>2008</v>
      </c>
      <c r="K202" t="s">
        <v>89</v>
      </c>
      <c r="L202" t="s">
        <v>154</v>
      </c>
    </row>
    <row r="203" spans="1:12" x14ac:dyDescent="0.3">
      <c r="A203">
        <v>114</v>
      </c>
      <c r="B203" t="s">
        <v>49</v>
      </c>
      <c r="C203">
        <v>2014</v>
      </c>
      <c r="D203" t="s">
        <v>152</v>
      </c>
      <c r="E203" t="s">
        <v>136</v>
      </c>
      <c r="F203" t="s">
        <v>6</v>
      </c>
      <c r="G203">
        <v>112</v>
      </c>
      <c r="H203" t="s">
        <v>158</v>
      </c>
      <c r="I203" s="4">
        <f>Tabelle_alle_Kennzahlen[[#This Row],[value (research)]]/1000*'2'!$E$58</f>
        <v>13.473599999999999</v>
      </c>
      <c r="J203">
        <f>Tabelle_alle_Kennzahlen[[#This Row],[publication year]]</f>
        <v>2014</v>
      </c>
      <c r="K203" t="s">
        <v>89</v>
      </c>
      <c r="L203" t="s">
        <v>154</v>
      </c>
    </row>
    <row r="204" spans="1:12" x14ac:dyDescent="0.3">
      <c r="A204">
        <v>202</v>
      </c>
      <c r="B204" t="s">
        <v>64</v>
      </c>
      <c r="C204">
        <v>2010</v>
      </c>
      <c r="D204" t="s">
        <v>142</v>
      </c>
      <c r="E204" t="s">
        <v>136</v>
      </c>
      <c r="F204" t="s">
        <v>59</v>
      </c>
      <c r="G204">
        <v>16.7</v>
      </c>
      <c r="H204" t="s">
        <v>158</v>
      </c>
      <c r="I204" s="13">
        <f>Tabelle_alle_Kennzahlen[[#This Row],[value (research)]]/1000*'2'!E4</f>
        <v>0.7177214666666667</v>
      </c>
      <c r="J204">
        <f>Tabelle_alle_Kennzahlen[[#This Row],[publication year]]</f>
        <v>2010</v>
      </c>
      <c r="K204" t="s">
        <v>89</v>
      </c>
      <c r="L204" t="s">
        <v>154</v>
      </c>
    </row>
    <row r="205" spans="1:12" x14ac:dyDescent="0.3">
      <c r="A205">
        <v>101</v>
      </c>
      <c r="B205" t="s">
        <v>47</v>
      </c>
      <c r="C205">
        <v>2014</v>
      </c>
      <c r="D205" t="s">
        <v>152</v>
      </c>
      <c r="E205" t="s">
        <v>136</v>
      </c>
      <c r="F205" t="s">
        <v>6</v>
      </c>
      <c r="G205">
        <v>118</v>
      </c>
      <c r="H205" t="s">
        <v>158</v>
      </c>
      <c r="I205" s="4">
        <f>Tabelle_alle_Kennzahlen[[#This Row],[value (research)]]/1000*'2'!$E$58</f>
        <v>14.195399999999999</v>
      </c>
      <c r="J205">
        <f>Tabelle_alle_Kennzahlen[[#This Row],[publication year]]</f>
        <v>2014</v>
      </c>
      <c r="K205" t="s">
        <v>89</v>
      </c>
      <c r="L205" t="s">
        <v>154</v>
      </c>
    </row>
    <row r="206" spans="1:12" x14ac:dyDescent="0.3">
      <c r="A206">
        <v>107</v>
      </c>
      <c r="B206" t="s">
        <v>47</v>
      </c>
      <c r="C206">
        <v>2014</v>
      </c>
      <c r="D206" t="s">
        <v>152</v>
      </c>
      <c r="E206" t="s">
        <v>136</v>
      </c>
      <c r="F206" t="s">
        <v>6</v>
      </c>
      <c r="G206">
        <v>118</v>
      </c>
      <c r="H206" t="s">
        <v>158</v>
      </c>
      <c r="I206" s="4">
        <f>Tabelle_alle_Kennzahlen[[#This Row],[value (research)]]/1000*'2'!$E$58</f>
        <v>14.195399999999999</v>
      </c>
      <c r="J206">
        <f>Tabelle_alle_Kennzahlen[[#This Row],[publication year]]</f>
        <v>2014</v>
      </c>
      <c r="K206" t="s">
        <v>89</v>
      </c>
      <c r="L206" t="s">
        <v>154</v>
      </c>
    </row>
    <row r="207" spans="1:12" x14ac:dyDescent="0.3">
      <c r="A207">
        <v>205</v>
      </c>
      <c r="B207" t="s">
        <v>66</v>
      </c>
      <c r="C207">
        <v>2006</v>
      </c>
      <c r="D207" t="s">
        <v>142</v>
      </c>
      <c r="E207" t="s">
        <v>136</v>
      </c>
      <c r="F207" t="s">
        <v>6</v>
      </c>
      <c r="G207">
        <v>4.9000000000000004</v>
      </c>
      <c r="H207" t="s">
        <v>158</v>
      </c>
      <c r="I207" s="4">
        <f>Tabelle_alle_Kennzahlen[[#This Row],[value (research)]]/1000*'2'!E4</f>
        <v>0.21058893333333337</v>
      </c>
      <c r="J207">
        <f>Tabelle_alle_Kennzahlen[[#This Row],[publication year]]</f>
        <v>2006</v>
      </c>
      <c r="K207" t="s">
        <v>89</v>
      </c>
      <c r="L207" t="s">
        <v>156</v>
      </c>
    </row>
    <row r="208" spans="1:12" x14ac:dyDescent="0.3">
      <c r="A208">
        <v>187</v>
      </c>
      <c r="B208" t="s">
        <v>76</v>
      </c>
      <c r="C208">
        <v>2019</v>
      </c>
      <c r="D208" t="s">
        <v>147</v>
      </c>
      <c r="E208" t="s">
        <v>136</v>
      </c>
      <c r="F208" t="s">
        <v>158</v>
      </c>
      <c r="G208">
        <v>0.54484999999999995</v>
      </c>
      <c r="H208" t="s">
        <v>158</v>
      </c>
      <c r="I208" s="13">
        <f>Tabelle_alle_Kennzahlen[[#This Row],[value (research)]]</f>
        <v>0.54484999999999995</v>
      </c>
      <c r="J208">
        <f>Tabelle_alle_Kennzahlen[[#This Row],[publication year]]</f>
        <v>2019</v>
      </c>
      <c r="K208" t="s">
        <v>89</v>
      </c>
      <c r="L208" t="s">
        <v>154</v>
      </c>
    </row>
    <row r="209" spans="1:12" x14ac:dyDescent="0.3">
      <c r="A209">
        <v>207</v>
      </c>
      <c r="B209" t="s">
        <v>67</v>
      </c>
      <c r="C209">
        <v>2006</v>
      </c>
      <c r="D209" t="s">
        <v>142</v>
      </c>
      <c r="E209" t="s">
        <v>168</v>
      </c>
      <c r="F209" t="s">
        <v>14</v>
      </c>
      <c r="G209">
        <v>43.5</v>
      </c>
      <c r="H209" t="s">
        <v>14</v>
      </c>
      <c r="I209">
        <v>43.5</v>
      </c>
      <c r="J209">
        <f>Tabelle_alle_Kennzahlen[[#This Row],[publication year]]</f>
        <v>2006</v>
      </c>
      <c r="K209" t="s">
        <v>89</v>
      </c>
      <c r="L209" t="s">
        <v>154</v>
      </c>
    </row>
    <row r="210" spans="1:12" x14ac:dyDescent="0.3">
      <c r="A210">
        <v>208</v>
      </c>
      <c r="B210" t="s">
        <v>67</v>
      </c>
      <c r="C210">
        <v>2006</v>
      </c>
      <c r="D210" t="s">
        <v>147</v>
      </c>
      <c r="E210" t="s">
        <v>168</v>
      </c>
      <c r="F210" t="s">
        <v>14</v>
      </c>
      <c r="G210">
        <v>42.9</v>
      </c>
      <c r="H210" t="s">
        <v>14</v>
      </c>
      <c r="I210">
        <v>42.9</v>
      </c>
      <c r="J210">
        <f>Tabelle_alle_Kennzahlen[[#This Row],[publication year]]</f>
        <v>2006</v>
      </c>
      <c r="K210" t="s">
        <v>89</v>
      </c>
      <c r="L210" t="s">
        <v>154</v>
      </c>
    </row>
    <row r="211" spans="1:12" x14ac:dyDescent="0.3">
      <c r="A211">
        <v>209</v>
      </c>
      <c r="B211" t="s">
        <v>67</v>
      </c>
      <c r="C211">
        <v>2006</v>
      </c>
      <c r="D211" t="s">
        <v>150</v>
      </c>
      <c r="E211" t="s">
        <v>168</v>
      </c>
      <c r="F211" t="s">
        <v>14</v>
      </c>
      <c r="G211">
        <v>35.200000000000003</v>
      </c>
      <c r="H211" t="s">
        <v>14</v>
      </c>
      <c r="I211" s="2">
        <v>35.200000000000003</v>
      </c>
      <c r="J211">
        <f>Tabelle_alle_Kennzahlen[[#This Row],[publication year]]</f>
        <v>2006</v>
      </c>
      <c r="K211" t="s">
        <v>89</v>
      </c>
      <c r="L211" t="s">
        <v>156</v>
      </c>
    </row>
    <row r="212" spans="1:12" x14ac:dyDescent="0.3">
      <c r="A212">
        <v>210</v>
      </c>
      <c r="B212" t="s">
        <v>68</v>
      </c>
      <c r="C212">
        <v>2006</v>
      </c>
      <c r="D212" t="s">
        <v>142</v>
      </c>
      <c r="E212" t="s">
        <v>136</v>
      </c>
      <c r="F212" t="s">
        <v>53</v>
      </c>
      <c r="G212">
        <v>25</v>
      </c>
      <c r="H212" t="s">
        <v>158</v>
      </c>
      <c r="I212" s="13">
        <f>Tabelle_alle_Kennzahlen[[#This Row],[value (research)]]/52/3.6*100*'2'!$E$4/1000</f>
        <v>0.57394943019943023</v>
      </c>
      <c r="J212">
        <f>Tabelle_alle_Kennzahlen[[#This Row],[publication year]]</f>
        <v>2006</v>
      </c>
      <c r="K212" t="s">
        <v>89</v>
      </c>
      <c r="L212" t="s">
        <v>154</v>
      </c>
    </row>
    <row r="213" spans="1:12" x14ac:dyDescent="0.3">
      <c r="A213">
        <v>195</v>
      </c>
      <c r="B213" t="s">
        <v>10</v>
      </c>
      <c r="C213">
        <v>2008</v>
      </c>
      <c r="D213" t="s">
        <v>147</v>
      </c>
      <c r="E213" t="s">
        <v>136</v>
      </c>
      <c r="F213" t="s">
        <v>5</v>
      </c>
      <c r="G213">
        <v>468</v>
      </c>
      <c r="H213" t="s">
        <v>158</v>
      </c>
      <c r="I213" s="13">
        <f>Tabelle_alle_Kennzahlen[[#This Row],[value (research)]]/1000/'2'!$E$15</f>
        <v>0.55913978494623662</v>
      </c>
      <c r="J213">
        <f>Tabelle_alle_Kennzahlen[[#This Row],[publication year]]</f>
        <v>2008</v>
      </c>
      <c r="K213" t="s">
        <v>89</v>
      </c>
      <c r="L213" t="s">
        <v>154</v>
      </c>
    </row>
    <row r="214" spans="1:12" x14ac:dyDescent="0.3">
      <c r="A214">
        <v>212</v>
      </c>
      <c r="B214" t="s">
        <v>68</v>
      </c>
      <c r="C214">
        <v>2006</v>
      </c>
      <c r="D214" t="s">
        <v>150</v>
      </c>
      <c r="E214" t="s">
        <v>136</v>
      </c>
      <c r="F214" t="s">
        <v>53</v>
      </c>
      <c r="G214">
        <v>20</v>
      </c>
      <c r="H214" t="s">
        <v>158</v>
      </c>
      <c r="I214" s="13">
        <f>Tabelle_alle_Kennzahlen[[#This Row],[value (research)]]/1000/3.6*100/45*'2'!$E22</f>
        <v>0.58378056762212904</v>
      </c>
      <c r="J214">
        <f>Tabelle_alle_Kennzahlen[[#This Row],[publication year]]</f>
        <v>2006</v>
      </c>
      <c r="K214" t="s">
        <v>89</v>
      </c>
      <c r="L214" t="s">
        <v>154</v>
      </c>
    </row>
    <row r="215" spans="1:12" x14ac:dyDescent="0.3">
      <c r="A215">
        <v>109</v>
      </c>
      <c r="B215" t="s">
        <v>49</v>
      </c>
      <c r="C215">
        <v>2014</v>
      </c>
      <c r="D215" t="s">
        <v>152</v>
      </c>
      <c r="E215" t="s">
        <v>136</v>
      </c>
      <c r="F215" t="s">
        <v>6</v>
      </c>
      <c r="G215">
        <v>118</v>
      </c>
      <c r="H215" t="s">
        <v>158</v>
      </c>
      <c r="I215" s="4">
        <f>Tabelle_alle_Kennzahlen[[#This Row],[value (research)]]/1000*'2'!$E$58</f>
        <v>14.195399999999999</v>
      </c>
      <c r="J215">
        <f>Tabelle_alle_Kennzahlen[[#This Row],[publication year]]</f>
        <v>2014</v>
      </c>
      <c r="K215" t="s">
        <v>89</v>
      </c>
      <c r="L215" t="s">
        <v>154</v>
      </c>
    </row>
    <row r="216" spans="1:12" x14ac:dyDescent="0.3">
      <c r="A216">
        <v>115</v>
      </c>
      <c r="B216" t="s">
        <v>49</v>
      </c>
      <c r="C216">
        <v>2014</v>
      </c>
      <c r="D216" t="s">
        <v>152</v>
      </c>
      <c r="E216" t="s">
        <v>136</v>
      </c>
      <c r="F216" t="s">
        <v>6</v>
      </c>
      <c r="G216">
        <v>118</v>
      </c>
      <c r="H216" t="s">
        <v>158</v>
      </c>
      <c r="I216" s="4">
        <f>Tabelle_alle_Kennzahlen[[#This Row],[value (research)]]/1000*'2'!$E$58</f>
        <v>14.195399999999999</v>
      </c>
      <c r="J216">
        <f>Tabelle_alle_Kennzahlen[[#This Row],[publication year]]</f>
        <v>2014</v>
      </c>
      <c r="K216" t="s">
        <v>89</v>
      </c>
      <c r="L216" t="s">
        <v>154</v>
      </c>
    </row>
    <row r="217" spans="1:12" x14ac:dyDescent="0.3">
      <c r="A217">
        <v>105</v>
      </c>
      <c r="B217" t="s">
        <v>47</v>
      </c>
      <c r="C217">
        <v>2014</v>
      </c>
      <c r="D217" t="s">
        <v>152</v>
      </c>
      <c r="E217" t="s">
        <v>136</v>
      </c>
      <c r="F217" t="s">
        <v>6</v>
      </c>
      <c r="G217">
        <v>125</v>
      </c>
      <c r="H217" t="s">
        <v>158</v>
      </c>
      <c r="I217" s="4">
        <f>Tabelle_alle_Kennzahlen[[#This Row],[value (research)]]/1000*'2'!$E$58</f>
        <v>15.0375</v>
      </c>
      <c r="J217">
        <f>Tabelle_alle_Kennzahlen[[#This Row],[publication year]]</f>
        <v>2014</v>
      </c>
      <c r="K217" t="s">
        <v>89</v>
      </c>
      <c r="L217" t="s">
        <v>154</v>
      </c>
    </row>
    <row r="218" spans="1:12" x14ac:dyDescent="0.3">
      <c r="A218">
        <v>113</v>
      </c>
      <c r="B218" t="s">
        <v>49</v>
      </c>
      <c r="C218">
        <v>2014</v>
      </c>
      <c r="D218" t="s">
        <v>152</v>
      </c>
      <c r="E218" t="s">
        <v>136</v>
      </c>
      <c r="F218" t="s">
        <v>6</v>
      </c>
      <c r="G218">
        <v>125</v>
      </c>
      <c r="H218" t="s">
        <v>158</v>
      </c>
      <c r="I218" s="4">
        <f>Tabelle_alle_Kennzahlen[[#This Row],[value (research)]]/1000*'2'!$E$58</f>
        <v>15.0375</v>
      </c>
      <c r="J218">
        <f>Tabelle_alle_Kennzahlen[[#This Row],[publication year]]</f>
        <v>2014</v>
      </c>
      <c r="K218" t="s">
        <v>89</v>
      </c>
      <c r="L218" t="s">
        <v>154</v>
      </c>
    </row>
    <row r="219" spans="1:12" x14ac:dyDescent="0.3">
      <c r="A219">
        <v>100</v>
      </c>
      <c r="B219" t="s">
        <v>47</v>
      </c>
      <c r="C219">
        <v>2014</v>
      </c>
      <c r="D219" t="s">
        <v>152</v>
      </c>
      <c r="E219" t="s">
        <v>136</v>
      </c>
      <c r="F219" t="s">
        <v>6</v>
      </c>
      <c r="G219">
        <v>127</v>
      </c>
      <c r="H219" t="s">
        <v>158</v>
      </c>
      <c r="I219" s="4">
        <f>Tabelle_alle_Kennzahlen[[#This Row],[value (research)]]/1000*'2'!$E$58</f>
        <v>15.2781</v>
      </c>
      <c r="J219">
        <f>Tabelle_alle_Kennzahlen[[#This Row],[publication year]]</f>
        <v>2014</v>
      </c>
      <c r="K219" t="s">
        <v>89</v>
      </c>
      <c r="L219" t="s">
        <v>154</v>
      </c>
    </row>
    <row r="220" spans="1:12" x14ac:dyDescent="0.3">
      <c r="A220">
        <v>108</v>
      </c>
      <c r="B220" t="s">
        <v>49</v>
      </c>
      <c r="C220">
        <v>2014</v>
      </c>
      <c r="D220" t="s">
        <v>152</v>
      </c>
      <c r="E220" t="s">
        <v>136</v>
      </c>
      <c r="F220" t="s">
        <v>6</v>
      </c>
      <c r="G220">
        <v>127</v>
      </c>
      <c r="H220" t="s">
        <v>158</v>
      </c>
      <c r="I220" s="4">
        <f>Tabelle_alle_Kennzahlen[[#This Row],[value (research)]]/1000*'2'!$E$58</f>
        <v>15.2781</v>
      </c>
      <c r="J220">
        <f>Tabelle_alle_Kennzahlen[[#This Row],[publication year]]</f>
        <v>2014</v>
      </c>
      <c r="K220" t="s">
        <v>89</v>
      </c>
      <c r="L220" t="s">
        <v>154</v>
      </c>
    </row>
    <row r="221" spans="1:12" x14ac:dyDescent="0.3">
      <c r="A221">
        <v>17</v>
      </c>
      <c r="B221" t="s">
        <v>60</v>
      </c>
      <c r="C221">
        <v>2007</v>
      </c>
      <c r="D221" t="s">
        <v>152</v>
      </c>
      <c r="E221" t="s">
        <v>136</v>
      </c>
      <c r="F221" t="s">
        <v>59</v>
      </c>
      <c r="G221">
        <v>132</v>
      </c>
      <c r="H221" t="s">
        <v>158</v>
      </c>
      <c r="I221" s="13">
        <f>Tabelle_alle_Kennzahlen[[#This Row],[value (research)]]/1000*'2'!$E$58</f>
        <v>15.8796</v>
      </c>
      <c r="J221">
        <f>Tabelle_alle_Kennzahlen[[#This Row],[publication year]]</f>
        <v>2007</v>
      </c>
      <c r="K221" t="s">
        <v>89</v>
      </c>
      <c r="L221" t="s">
        <v>154</v>
      </c>
    </row>
    <row r="222" spans="1:12" x14ac:dyDescent="0.3">
      <c r="A222">
        <v>201</v>
      </c>
      <c r="B222" t="s">
        <v>64</v>
      </c>
      <c r="C222">
        <v>2010</v>
      </c>
      <c r="D222" t="s">
        <v>152</v>
      </c>
      <c r="E222" t="s">
        <v>136</v>
      </c>
      <c r="F222" t="s">
        <v>59</v>
      </c>
      <c r="G222">
        <v>132</v>
      </c>
      <c r="H222" t="s">
        <v>158</v>
      </c>
      <c r="I222" s="13">
        <f>Tabelle_alle_Kennzahlen[[#This Row],[value (research)]]/1000*'2'!E58</f>
        <v>15.8796</v>
      </c>
      <c r="J222">
        <f>Tabelle_alle_Kennzahlen[[#This Row],[publication year]]</f>
        <v>2010</v>
      </c>
      <c r="K222" t="s">
        <v>89</v>
      </c>
      <c r="L222" t="s">
        <v>154</v>
      </c>
    </row>
    <row r="223" spans="1:12" x14ac:dyDescent="0.3">
      <c r="A223">
        <v>104</v>
      </c>
      <c r="B223" t="s">
        <v>47</v>
      </c>
      <c r="C223">
        <v>2014</v>
      </c>
      <c r="D223" t="s">
        <v>152</v>
      </c>
      <c r="E223" t="s">
        <v>136</v>
      </c>
      <c r="F223" t="s">
        <v>6</v>
      </c>
      <c r="G223">
        <v>135</v>
      </c>
      <c r="H223" t="s">
        <v>158</v>
      </c>
      <c r="I223" s="4">
        <f>Tabelle_alle_Kennzahlen[[#This Row],[value (research)]]/1000*'2'!$E$58</f>
        <v>16.240500000000001</v>
      </c>
      <c r="J223">
        <f>Tabelle_alle_Kennzahlen[[#This Row],[publication year]]</f>
        <v>2014</v>
      </c>
      <c r="K223" t="s">
        <v>89</v>
      </c>
      <c r="L223" t="s">
        <v>154</v>
      </c>
    </row>
    <row r="224" spans="1:12" x14ac:dyDescent="0.3">
      <c r="A224">
        <v>112</v>
      </c>
      <c r="B224" t="s">
        <v>49</v>
      </c>
      <c r="C224">
        <v>2014</v>
      </c>
      <c r="D224" t="s">
        <v>152</v>
      </c>
      <c r="E224" t="s">
        <v>136</v>
      </c>
      <c r="F224" t="s">
        <v>6</v>
      </c>
      <c r="G224">
        <v>135</v>
      </c>
      <c r="H224" t="s">
        <v>158</v>
      </c>
      <c r="I224" s="4">
        <f>Tabelle_alle_Kennzahlen[[#This Row],[value (research)]]/1000*'2'!$E$58</f>
        <v>16.240500000000001</v>
      </c>
      <c r="J224">
        <f>Tabelle_alle_Kennzahlen[[#This Row],[publication year]]</f>
        <v>2014</v>
      </c>
      <c r="K224" t="s">
        <v>89</v>
      </c>
      <c r="L224" t="s">
        <v>154</v>
      </c>
    </row>
    <row r="225" spans="1:12" x14ac:dyDescent="0.3">
      <c r="A225">
        <v>213</v>
      </c>
      <c r="B225" t="s">
        <v>68</v>
      </c>
      <c r="C225">
        <v>2006</v>
      </c>
      <c r="D225" t="s">
        <v>152</v>
      </c>
      <c r="E225" t="s">
        <v>136</v>
      </c>
      <c r="F225" t="s">
        <v>53</v>
      </c>
      <c r="G225">
        <v>155</v>
      </c>
      <c r="H225" t="s">
        <v>158</v>
      </c>
      <c r="I225" s="36">
        <f>Tabelle_alle_Kennzahlen[[#This Row],[value (research)]]/1000*100/3.6/30*'2'!$E$58</f>
        <v>17.265277777777776</v>
      </c>
      <c r="J225">
        <f>Tabelle_alle_Kennzahlen[[#This Row],[publication year]]</f>
        <v>2006</v>
      </c>
      <c r="K225" t="s">
        <v>89</v>
      </c>
      <c r="L225" t="s">
        <v>154</v>
      </c>
    </row>
    <row r="226" spans="1:12" x14ac:dyDescent="0.3">
      <c r="A226">
        <v>125</v>
      </c>
      <c r="B226" t="s">
        <v>50</v>
      </c>
      <c r="C226">
        <v>2014</v>
      </c>
      <c r="D226" t="s">
        <v>152</v>
      </c>
      <c r="E226" t="s">
        <v>136</v>
      </c>
      <c r="F226" t="s">
        <v>6</v>
      </c>
      <c r="G226">
        <v>200</v>
      </c>
      <c r="H226" t="s">
        <v>158</v>
      </c>
      <c r="I226" s="4">
        <f>Tabelle_alle_Kennzahlen[[#This Row],[value (research)]]/1000*'2'!$E$58</f>
        <v>24.060000000000002</v>
      </c>
      <c r="J226">
        <f>Tabelle_alle_Kennzahlen[[#This Row],[publication year]]</f>
        <v>2014</v>
      </c>
      <c r="K226" t="s">
        <v>140</v>
      </c>
      <c r="L226" t="s">
        <v>154</v>
      </c>
    </row>
    <row r="227" spans="1:12" x14ac:dyDescent="0.3">
      <c r="A227">
        <v>124</v>
      </c>
      <c r="B227" t="s">
        <v>50</v>
      </c>
      <c r="C227">
        <v>2014</v>
      </c>
      <c r="D227" t="s">
        <v>152</v>
      </c>
      <c r="E227" t="s">
        <v>136</v>
      </c>
      <c r="F227" t="s">
        <v>6</v>
      </c>
      <c r="G227">
        <v>204</v>
      </c>
      <c r="H227" t="s">
        <v>158</v>
      </c>
      <c r="I227" s="4">
        <f>Tabelle_alle_Kennzahlen[[#This Row],[value (research)]]/1000*'2'!$E$58</f>
        <v>24.541199999999996</v>
      </c>
      <c r="J227">
        <f>Tabelle_alle_Kennzahlen[[#This Row],[publication year]]</f>
        <v>2014</v>
      </c>
      <c r="K227" t="s">
        <v>140</v>
      </c>
      <c r="L227" t="s">
        <v>154</v>
      </c>
    </row>
    <row r="228" spans="1:12" x14ac:dyDescent="0.3">
      <c r="A228">
        <v>126</v>
      </c>
      <c r="B228" t="s">
        <v>50</v>
      </c>
      <c r="C228">
        <v>2014</v>
      </c>
      <c r="D228" t="s">
        <v>152</v>
      </c>
      <c r="E228" t="s">
        <v>136</v>
      </c>
      <c r="F228" t="s">
        <v>6</v>
      </c>
      <c r="G228">
        <v>220</v>
      </c>
      <c r="H228" t="s">
        <v>158</v>
      </c>
      <c r="I228" s="4">
        <f>Tabelle_alle_Kennzahlen[[#This Row],[value (research)]]/1000*'2'!$E$58</f>
        <v>26.466000000000001</v>
      </c>
      <c r="J228">
        <f>Tabelle_alle_Kennzahlen[[#This Row],[publication year]]</f>
        <v>2014</v>
      </c>
      <c r="K228" t="s">
        <v>140</v>
      </c>
      <c r="L228" t="s">
        <v>154</v>
      </c>
    </row>
    <row r="229" spans="1:12" x14ac:dyDescent="0.3">
      <c r="A229">
        <v>129</v>
      </c>
      <c r="B229" t="s">
        <v>50</v>
      </c>
      <c r="C229">
        <v>2014</v>
      </c>
      <c r="D229" t="s">
        <v>152</v>
      </c>
      <c r="E229" t="s">
        <v>136</v>
      </c>
      <c r="F229" t="s">
        <v>6</v>
      </c>
      <c r="G229">
        <v>225</v>
      </c>
      <c r="H229" t="s">
        <v>158</v>
      </c>
      <c r="I229" s="4">
        <f>Tabelle_alle_Kennzahlen[[#This Row],[value (research)]]/1000*'2'!$E$58</f>
        <v>27.067499999999999</v>
      </c>
      <c r="J229">
        <f>Tabelle_alle_Kennzahlen[[#This Row],[publication year]]</f>
        <v>2014</v>
      </c>
      <c r="K229" t="s">
        <v>140</v>
      </c>
      <c r="L229" t="s">
        <v>154</v>
      </c>
    </row>
    <row r="230" spans="1:12" x14ac:dyDescent="0.3">
      <c r="A230">
        <v>228</v>
      </c>
      <c r="B230" t="s">
        <v>75</v>
      </c>
      <c r="C230">
        <v>2011</v>
      </c>
      <c r="D230" t="s">
        <v>142</v>
      </c>
      <c r="E230" t="s">
        <v>168</v>
      </c>
      <c r="F230" t="s">
        <v>14</v>
      </c>
      <c r="G230">
        <v>43.542999999999999</v>
      </c>
      <c r="H230" t="s">
        <v>14</v>
      </c>
      <c r="I230" s="4">
        <f>Tabelle_alle_Kennzahlen[[#This Row],[value (research)]]</f>
        <v>43.542999999999999</v>
      </c>
      <c r="J230">
        <f>Tabelle_alle_Kennzahlen[[#This Row],[publication year]]</f>
        <v>2011</v>
      </c>
      <c r="K230" t="s">
        <v>89</v>
      </c>
      <c r="L230" t="s">
        <v>154</v>
      </c>
    </row>
    <row r="231" spans="1:12" x14ac:dyDescent="0.3">
      <c r="A231">
        <v>229</v>
      </c>
      <c r="B231" t="s">
        <v>75</v>
      </c>
      <c r="C231">
        <v>2011</v>
      </c>
      <c r="D231" t="s">
        <v>147</v>
      </c>
      <c r="E231" t="s">
        <v>168</v>
      </c>
      <c r="F231" t="s">
        <v>14</v>
      </c>
      <c r="G231">
        <v>42.96</v>
      </c>
      <c r="H231" t="s">
        <v>14</v>
      </c>
      <c r="I231" s="4">
        <f>Tabelle_alle_Kennzahlen[[#This Row],[value (research)]]</f>
        <v>42.96</v>
      </c>
      <c r="J231">
        <f>Tabelle_alle_Kennzahlen[[#This Row],[publication year]]</f>
        <v>2011</v>
      </c>
      <c r="K231" t="s">
        <v>89</v>
      </c>
      <c r="L231" t="s">
        <v>154</v>
      </c>
    </row>
    <row r="232" spans="1:12" x14ac:dyDescent="0.3">
      <c r="A232">
        <v>230</v>
      </c>
      <c r="B232" t="s">
        <v>75</v>
      </c>
      <c r="C232">
        <v>2011</v>
      </c>
      <c r="D232" t="s">
        <v>30</v>
      </c>
      <c r="E232" t="s">
        <v>168</v>
      </c>
      <c r="F232" t="s">
        <v>14</v>
      </c>
      <c r="G232">
        <v>26.917000000000002</v>
      </c>
      <c r="H232" t="s">
        <v>14</v>
      </c>
      <c r="I232" s="4">
        <f>Tabelle_alle_Kennzahlen[[#This Row],[value (research)]]</f>
        <v>26.917000000000002</v>
      </c>
      <c r="J232">
        <f>Tabelle_alle_Kennzahlen[[#This Row],[publication year]]</f>
        <v>2011</v>
      </c>
      <c r="K232" t="s">
        <v>89</v>
      </c>
      <c r="L232" t="s">
        <v>154</v>
      </c>
    </row>
    <row r="233" spans="1:12" x14ac:dyDescent="0.3">
      <c r="A233">
        <v>231</v>
      </c>
      <c r="B233" t="s">
        <v>75</v>
      </c>
      <c r="C233">
        <v>2011</v>
      </c>
      <c r="D233" t="s">
        <v>1</v>
      </c>
      <c r="E233" t="s">
        <v>168</v>
      </c>
      <c r="F233" t="s">
        <v>14</v>
      </c>
      <c r="G233">
        <v>37.241999999999997</v>
      </c>
      <c r="H233" t="s">
        <v>14</v>
      </c>
      <c r="I233" s="4">
        <f>Tabelle_alle_Kennzahlen[[#This Row],[value (research)]]</f>
        <v>37.241999999999997</v>
      </c>
      <c r="J233">
        <f>Tabelle_alle_Kennzahlen[[#This Row],[publication year]]</f>
        <v>2011</v>
      </c>
      <c r="K233" t="s">
        <v>89</v>
      </c>
      <c r="L233" t="s">
        <v>154</v>
      </c>
    </row>
    <row r="234" spans="1:12" x14ac:dyDescent="0.3">
      <c r="A234">
        <v>232</v>
      </c>
      <c r="B234" t="s">
        <v>75</v>
      </c>
      <c r="C234">
        <v>2011</v>
      </c>
      <c r="D234" t="s">
        <v>142</v>
      </c>
      <c r="E234" t="s">
        <v>134</v>
      </c>
      <c r="F234" t="s">
        <v>19</v>
      </c>
      <c r="G234">
        <v>0.74199999999999999</v>
      </c>
      <c r="H234" t="s">
        <v>19</v>
      </c>
      <c r="I234" s="4">
        <f>Tabelle_alle_Kennzahlen[[#This Row],[value (research)]]</f>
        <v>0.74199999999999999</v>
      </c>
      <c r="J234">
        <f>Tabelle_alle_Kennzahlen[[#This Row],[publication year]]</f>
        <v>2011</v>
      </c>
      <c r="K234" t="s">
        <v>89</v>
      </c>
      <c r="L234" t="s">
        <v>154</v>
      </c>
    </row>
    <row r="235" spans="1:12" x14ac:dyDescent="0.3">
      <c r="A235">
        <v>233</v>
      </c>
      <c r="B235" t="s">
        <v>75</v>
      </c>
      <c r="C235">
        <v>2011</v>
      </c>
      <c r="D235" t="s">
        <v>147</v>
      </c>
      <c r="E235" t="s">
        <v>134</v>
      </c>
      <c r="F235" t="s">
        <v>19</v>
      </c>
      <c r="G235">
        <v>0.83199999999999996</v>
      </c>
      <c r="H235" t="s">
        <v>19</v>
      </c>
      <c r="I235" s="4">
        <f>Tabelle_alle_Kennzahlen[[#This Row],[value (research)]]</f>
        <v>0.83199999999999996</v>
      </c>
      <c r="J235">
        <f>Tabelle_alle_Kennzahlen[[#This Row],[publication year]]</f>
        <v>2011</v>
      </c>
      <c r="K235" t="s">
        <v>89</v>
      </c>
      <c r="L235" t="s">
        <v>154</v>
      </c>
    </row>
    <row r="236" spans="1:12" x14ac:dyDescent="0.3">
      <c r="A236">
        <v>234</v>
      </c>
      <c r="B236" t="s">
        <v>75</v>
      </c>
      <c r="C236">
        <v>2011</v>
      </c>
      <c r="D236" t="s">
        <v>30</v>
      </c>
      <c r="E236" t="s">
        <v>134</v>
      </c>
      <c r="F236" t="s">
        <v>19</v>
      </c>
      <c r="G236">
        <v>0.78200000000000003</v>
      </c>
      <c r="H236" t="s">
        <v>19</v>
      </c>
      <c r="I236" s="4">
        <f>Tabelle_alle_Kennzahlen[[#This Row],[value (research)]]</f>
        <v>0.78200000000000003</v>
      </c>
      <c r="J236">
        <f>Tabelle_alle_Kennzahlen[[#This Row],[publication year]]</f>
        <v>2011</v>
      </c>
      <c r="K236" t="s">
        <v>89</v>
      </c>
      <c r="L236" t="s">
        <v>154</v>
      </c>
    </row>
    <row r="237" spans="1:12" x14ac:dyDescent="0.3">
      <c r="A237">
        <v>235</v>
      </c>
      <c r="B237" t="s">
        <v>75</v>
      </c>
      <c r="C237">
        <v>2011</v>
      </c>
      <c r="D237" t="s">
        <v>1</v>
      </c>
      <c r="E237" t="s">
        <v>134</v>
      </c>
      <c r="F237" t="s">
        <v>19</v>
      </c>
      <c r="G237">
        <v>0.879</v>
      </c>
      <c r="H237" t="s">
        <v>19</v>
      </c>
      <c r="I237" s="4">
        <f>Tabelle_alle_Kennzahlen[[#This Row],[value (research)]]</f>
        <v>0.879</v>
      </c>
      <c r="J237">
        <f>Tabelle_alle_Kennzahlen[[#This Row],[publication year]]</f>
        <v>2011</v>
      </c>
      <c r="K237" t="s">
        <v>89</v>
      </c>
      <c r="L237" t="s">
        <v>154</v>
      </c>
    </row>
    <row r="238" spans="1:12" x14ac:dyDescent="0.3">
      <c r="A238">
        <v>236</v>
      </c>
      <c r="B238" t="s">
        <v>76</v>
      </c>
      <c r="C238">
        <v>2019</v>
      </c>
      <c r="D238" t="s">
        <v>142</v>
      </c>
      <c r="E238" t="s">
        <v>136</v>
      </c>
      <c r="F238" t="s">
        <v>158</v>
      </c>
      <c r="G238">
        <v>0.81499999999999995</v>
      </c>
      <c r="H238" t="s">
        <v>158</v>
      </c>
      <c r="I238" s="13">
        <f>Tabelle_alle_Kennzahlen[[#This Row],[value (research)]]</f>
        <v>0.81499999999999995</v>
      </c>
      <c r="J238">
        <f>Tabelle_alle_Kennzahlen[[#This Row],[publication year]]</f>
        <v>2019</v>
      </c>
      <c r="K238" t="s">
        <v>89</v>
      </c>
      <c r="L238" t="s">
        <v>154</v>
      </c>
    </row>
    <row r="239" spans="1:12" x14ac:dyDescent="0.3">
      <c r="A239">
        <v>237</v>
      </c>
      <c r="B239" t="s">
        <v>76</v>
      </c>
      <c r="C239">
        <v>2019</v>
      </c>
      <c r="D239" t="s">
        <v>147</v>
      </c>
      <c r="E239" t="s">
        <v>136</v>
      </c>
      <c r="F239" t="s">
        <v>158</v>
      </c>
      <c r="G239">
        <v>0.59</v>
      </c>
      <c r="H239" t="s">
        <v>158</v>
      </c>
      <c r="I239" s="13">
        <f>Tabelle_alle_Kennzahlen[[#This Row],[value (research)]]</f>
        <v>0.59</v>
      </c>
      <c r="J239">
        <f>Tabelle_alle_Kennzahlen[[#This Row],[publication year]]</f>
        <v>2019</v>
      </c>
      <c r="K239" t="s">
        <v>89</v>
      </c>
      <c r="L239" t="s">
        <v>154</v>
      </c>
    </row>
    <row r="240" spans="1:12" x14ac:dyDescent="0.3">
      <c r="A240">
        <v>238</v>
      </c>
      <c r="B240" t="s">
        <v>10</v>
      </c>
      <c r="C240">
        <v>2008</v>
      </c>
      <c r="D240" t="s">
        <v>150</v>
      </c>
      <c r="E240" t="s">
        <v>137</v>
      </c>
      <c r="F240" t="s">
        <v>160</v>
      </c>
      <c r="G240">
        <v>201.6</v>
      </c>
      <c r="H240" t="s">
        <v>4</v>
      </c>
      <c r="I240" s="74">
        <f>Tabelle_alle_Kennzahlen[[#This Row],[value (research)]]/3600000</f>
        <v>5.5999999999999999E-5</v>
      </c>
      <c r="J240">
        <f>Tabelle_alle_Kennzahlen[[#This Row],[publication year]]</f>
        <v>2008</v>
      </c>
      <c r="K240" t="s">
        <v>89</v>
      </c>
      <c r="L240" t="s">
        <v>154</v>
      </c>
    </row>
    <row r="241" spans="1:12" x14ac:dyDescent="0.3">
      <c r="A241">
        <v>239</v>
      </c>
      <c r="B241" t="s">
        <v>77</v>
      </c>
      <c r="C241">
        <v>2011</v>
      </c>
      <c r="D241" t="s">
        <v>142</v>
      </c>
      <c r="E241" t="s">
        <v>136</v>
      </c>
      <c r="F241" t="s">
        <v>6</v>
      </c>
      <c r="G241">
        <v>18</v>
      </c>
      <c r="H241" t="s">
        <v>158</v>
      </c>
      <c r="I241" s="13">
        <f>Tabelle_alle_Kennzahlen[[#This Row],[value (research)]]/1000*'2'!$E$4</f>
        <v>0.77359199999999995</v>
      </c>
      <c r="J241">
        <v>2010</v>
      </c>
      <c r="K241" t="s">
        <v>89</v>
      </c>
      <c r="L241" t="s">
        <v>154</v>
      </c>
    </row>
    <row r="242" spans="1:12" x14ac:dyDescent="0.3">
      <c r="A242">
        <v>38</v>
      </c>
      <c r="B242" t="s">
        <v>41</v>
      </c>
      <c r="C242">
        <v>2014</v>
      </c>
      <c r="D242" t="s">
        <v>147</v>
      </c>
      <c r="E242" t="s">
        <v>136</v>
      </c>
      <c r="F242" t="s">
        <v>6</v>
      </c>
      <c r="G242">
        <v>15.4</v>
      </c>
      <c r="H242" t="s">
        <v>158</v>
      </c>
      <c r="I242" s="4">
        <f>Tabelle_alle_Kennzahlen[[#This Row],[value (research)]]/1000*'2'!E13</f>
        <v>0.66105355555555556</v>
      </c>
      <c r="J242">
        <f>Tabelle_alle_Kennzahlen[[#This Row],[publication year]]</f>
        <v>2014</v>
      </c>
      <c r="K242" t="s">
        <v>89</v>
      </c>
      <c r="L242" t="s">
        <v>154</v>
      </c>
    </row>
    <row r="243" spans="1:12" x14ac:dyDescent="0.3">
      <c r="A243">
        <v>241</v>
      </c>
      <c r="B243" t="s">
        <v>77</v>
      </c>
      <c r="C243">
        <v>2011</v>
      </c>
      <c r="D243" t="s">
        <v>1</v>
      </c>
      <c r="E243" t="s">
        <v>136</v>
      </c>
      <c r="F243" t="s">
        <v>6</v>
      </c>
      <c r="G243">
        <v>58</v>
      </c>
      <c r="H243" t="s">
        <v>158</v>
      </c>
      <c r="I243" s="13">
        <f>Tabelle_alle_Kennzahlen[[#This Row],[value (research)]]/1000*'2'!$E$49</f>
        <v>2.1600359999999998</v>
      </c>
      <c r="J243">
        <v>2010</v>
      </c>
      <c r="K243" t="s">
        <v>89</v>
      </c>
      <c r="L243" t="s">
        <v>156</v>
      </c>
    </row>
    <row r="244" spans="1:12" x14ac:dyDescent="0.3">
      <c r="A244">
        <v>242</v>
      </c>
      <c r="B244" t="s">
        <v>78</v>
      </c>
      <c r="C244">
        <v>2011</v>
      </c>
      <c r="D244" t="s">
        <v>1</v>
      </c>
      <c r="E244" t="s">
        <v>136</v>
      </c>
      <c r="F244" t="s">
        <v>6</v>
      </c>
      <c r="G244">
        <v>52</v>
      </c>
      <c r="H244" t="s">
        <v>158</v>
      </c>
      <c r="I244" s="13">
        <f>Tabelle_alle_Kennzahlen[[#This Row],[value (research)]]/1000*'2'!$E$49</f>
        <v>1.9365839999999999</v>
      </c>
      <c r="J244">
        <v>2010</v>
      </c>
      <c r="K244" t="s">
        <v>89</v>
      </c>
      <c r="L244" t="s">
        <v>154</v>
      </c>
    </row>
    <row r="245" spans="1:12" x14ac:dyDescent="0.3">
      <c r="A245">
        <v>243</v>
      </c>
      <c r="B245" t="s">
        <v>78</v>
      </c>
      <c r="C245">
        <v>2011</v>
      </c>
      <c r="D245" t="s">
        <v>1</v>
      </c>
      <c r="E245" t="s">
        <v>136</v>
      </c>
      <c r="F245" t="s">
        <v>6</v>
      </c>
      <c r="G245">
        <v>40</v>
      </c>
      <c r="H245" t="s">
        <v>158</v>
      </c>
      <c r="I245" s="13">
        <f>Tabelle_alle_Kennzahlen[[#This Row],[value (research)]]/1000*'2'!$E$49</f>
        <v>1.4896799999999999</v>
      </c>
      <c r="J245">
        <v>2010</v>
      </c>
      <c r="K245" t="s">
        <v>89</v>
      </c>
      <c r="L245" t="s">
        <v>156</v>
      </c>
    </row>
    <row r="246" spans="1:12" x14ac:dyDescent="0.3">
      <c r="A246">
        <v>244</v>
      </c>
      <c r="B246" t="s">
        <v>78</v>
      </c>
      <c r="C246">
        <v>2011</v>
      </c>
      <c r="D246" t="s">
        <v>1</v>
      </c>
      <c r="E246" t="s">
        <v>136</v>
      </c>
      <c r="F246" t="s">
        <v>6</v>
      </c>
      <c r="G246">
        <v>20</v>
      </c>
      <c r="H246" t="s">
        <v>158</v>
      </c>
      <c r="I246" s="13">
        <f>Tabelle_alle_Kennzahlen[[#This Row],[value (research)]]/1000*'2'!$E$49</f>
        <v>0.74483999999999995</v>
      </c>
      <c r="J246">
        <v>2010</v>
      </c>
      <c r="K246" t="s">
        <v>89</v>
      </c>
      <c r="L246" t="s">
        <v>156</v>
      </c>
    </row>
    <row r="247" spans="1:12" x14ac:dyDescent="0.3">
      <c r="A247">
        <v>245</v>
      </c>
      <c r="B247" t="s">
        <v>79</v>
      </c>
      <c r="C247">
        <v>2016</v>
      </c>
      <c r="D247" t="s">
        <v>150</v>
      </c>
      <c r="E247" t="s">
        <v>137</v>
      </c>
      <c r="F247" t="s">
        <v>6</v>
      </c>
      <c r="G247">
        <v>55.6</v>
      </c>
      <c r="H247" t="s">
        <v>4</v>
      </c>
      <c r="I247" s="74">
        <f>Tabelle_alle_Kennzahlen[[#This Row],[value (research)]]/10^6</f>
        <v>5.5600000000000003E-5</v>
      </c>
      <c r="J247">
        <v>2014</v>
      </c>
      <c r="K247" t="s">
        <v>89</v>
      </c>
      <c r="L247" t="s">
        <v>154</v>
      </c>
    </row>
    <row r="248" spans="1:12" x14ac:dyDescent="0.3">
      <c r="A248">
        <v>246</v>
      </c>
      <c r="B248" t="s">
        <v>80</v>
      </c>
      <c r="C248">
        <v>2017</v>
      </c>
      <c r="D248" t="s">
        <v>1</v>
      </c>
      <c r="E248" t="s">
        <v>136</v>
      </c>
      <c r="F248" t="s">
        <v>160</v>
      </c>
      <c r="G248">
        <v>114.86</v>
      </c>
      <c r="H248" t="s">
        <v>158</v>
      </c>
      <c r="I248" s="13">
        <f>Tabelle_alle_Kennzahlen[[#This Row],[value (research)]]/3.6*'2'!$E$49/1000</f>
        <v>1.1882267</v>
      </c>
      <c r="J248">
        <v>2016</v>
      </c>
      <c r="K248" t="s">
        <v>89</v>
      </c>
      <c r="L248" t="s">
        <v>154</v>
      </c>
    </row>
    <row r="249" spans="1:12" x14ac:dyDescent="0.3">
      <c r="A249">
        <v>247</v>
      </c>
      <c r="B249" t="s">
        <v>81</v>
      </c>
      <c r="C249">
        <v>2017</v>
      </c>
      <c r="D249" t="s">
        <v>30</v>
      </c>
      <c r="E249" t="s">
        <v>136</v>
      </c>
      <c r="F249" t="s">
        <v>160</v>
      </c>
      <c r="G249">
        <f>0.332*82.21+0.507*82.82+0.132*126.85+0.021*70.25+0.005*52.87</f>
        <v>87.767259999999993</v>
      </c>
      <c r="H249" t="s">
        <v>158</v>
      </c>
      <c r="I249" s="13">
        <f>Tabelle_alle_Kennzahlen[[#This Row],[value (research)]]/3.6*'2'!$E$40/1000</f>
        <v>0.6530737436805556</v>
      </c>
      <c r="J249">
        <v>2015</v>
      </c>
      <c r="K249" t="s">
        <v>89</v>
      </c>
      <c r="L249" t="s">
        <v>154</v>
      </c>
    </row>
    <row r="250" spans="1:12" x14ac:dyDescent="0.3">
      <c r="A250">
        <v>248</v>
      </c>
      <c r="B250" t="s">
        <v>82</v>
      </c>
      <c r="C250">
        <v>2017</v>
      </c>
      <c r="D250" t="s">
        <v>142</v>
      </c>
      <c r="E250" t="s">
        <v>136</v>
      </c>
      <c r="F250" t="s">
        <v>160</v>
      </c>
      <c r="G250">
        <v>42.13</v>
      </c>
      <c r="H250" t="s">
        <v>158</v>
      </c>
      <c r="I250" s="13">
        <f>Tabelle_alle_Kennzahlen[[#This Row],[value (research)]]/3.6*'2'!$E$4/1000</f>
        <v>0.50295418148148152</v>
      </c>
      <c r="J250">
        <v>2016</v>
      </c>
      <c r="K250" t="s">
        <v>89</v>
      </c>
      <c r="L250" t="s">
        <v>154</v>
      </c>
    </row>
    <row r="251" spans="1:12" x14ac:dyDescent="0.3">
      <c r="A251">
        <v>249</v>
      </c>
      <c r="B251" t="s">
        <v>83</v>
      </c>
      <c r="C251">
        <v>2017</v>
      </c>
      <c r="D251" t="s">
        <v>142</v>
      </c>
      <c r="E251" t="s">
        <v>137</v>
      </c>
      <c r="F251" t="s">
        <v>160</v>
      </c>
      <c r="G251">
        <v>259.2</v>
      </c>
      <c r="H251" t="s">
        <v>4</v>
      </c>
      <c r="I251" s="74">
        <f>Tabelle_alle_Kennzahlen[[#This Row],[value (research)]]/3600000</f>
        <v>7.2000000000000002E-5</v>
      </c>
      <c r="J251">
        <v>2016</v>
      </c>
      <c r="K251" t="s">
        <v>89</v>
      </c>
      <c r="L251" t="s">
        <v>154</v>
      </c>
    </row>
    <row r="252" spans="1:12" x14ac:dyDescent="0.3">
      <c r="A252">
        <v>261</v>
      </c>
      <c r="B252" t="s">
        <v>93</v>
      </c>
      <c r="C252">
        <v>2015</v>
      </c>
      <c r="D252" t="s">
        <v>147</v>
      </c>
      <c r="E252" t="s">
        <v>136</v>
      </c>
      <c r="F252" t="s">
        <v>6</v>
      </c>
      <c r="G252">
        <v>17.399999999999999</v>
      </c>
      <c r="H252" t="s">
        <v>158</v>
      </c>
      <c r="I252" s="13">
        <f>Tabelle_alle_Kennzahlen[[#This Row],[value (research)]]/1000*'2'!$E$13</f>
        <v>0.74690466666666655</v>
      </c>
      <c r="J252">
        <f>Tabelle_alle_Kennzahlen[[#This Row],[publication year]]</f>
        <v>2015</v>
      </c>
      <c r="K252" t="s">
        <v>89</v>
      </c>
      <c r="L252" t="s">
        <v>154</v>
      </c>
    </row>
    <row r="253" spans="1:12" x14ac:dyDescent="0.3">
      <c r="A253">
        <v>251</v>
      </c>
      <c r="B253" t="s">
        <v>85</v>
      </c>
      <c r="C253">
        <v>2017</v>
      </c>
      <c r="D253" t="s">
        <v>147</v>
      </c>
      <c r="E253" t="s">
        <v>137</v>
      </c>
      <c r="F253" t="s">
        <v>160</v>
      </c>
      <c r="G253">
        <v>266.39999999999998</v>
      </c>
      <c r="H253" t="s">
        <v>4</v>
      </c>
      <c r="I253" s="74">
        <f>Tabelle_alle_Kennzahlen[[#This Row],[value (research)]]/3600000</f>
        <v>7.3999999999999996E-5</v>
      </c>
      <c r="J253">
        <v>2016</v>
      </c>
      <c r="K253" t="s">
        <v>89</v>
      </c>
      <c r="L253" t="s">
        <v>154</v>
      </c>
    </row>
    <row r="254" spans="1:12" x14ac:dyDescent="0.3">
      <c r="A254">
        <v>252</v>
      </c>
      <c r="B254" t="s">
        <v>86</v>
      </c>
      <c r="C254">
        <v>2017</v>
      </c>
      <c r="D254" t="s">
        <v>87</v>
      </c>
      <c r="E254" t="s">
        <v>136</v>
      </c>
      <c r="F254" t="s">
        <v>160</v>
      </c>
      <c r="G254">
        <v>47.42</v>
      </c>
      <c r="H254" t="s">
        <v>158</v>
      </c>
      <c r="I254" s="13">
        <f>Tabelle_alle_Kennzahlen[[#This Row],[value (research)]]/3.6*'2'!$E$22/1000</f>
        <v>0.62286467662443057</v>
      </c>
      <c r="J254">
        <v>2016</v>
      </c>
      <c r="K254" t="s">
        <v>89</v>
      </c>
      <c r="L254" t="s">
        <v>154</v>
      </c>
    </row>
    <row r="255" spans="1:12" x14ac:dyDescent="0.3">
      <c r="A255">
        <v>253</v>
      </c>
      <c r="B255" t="s">
        <v>86</v>
      </c>
      <c r="C255">
        <v>2017</v>
      </c>
      <c r="D255" t="s">
        <v>150</v>
      </c>
      <c r="E255" t="s">
        <v>136</v>
      </c>
      <c r="F255" t="s">
        <v>160</v>
      </c>
      <c r="G255">
        <v>48.42</v>
      </c>
      <c r="H255" t="s">
        <v>158</v>
      </c>
      <c r="I255" s="13">
        <f>Tabelle_alle_Kennzahlen[[#This Row],[value (research)]]/3.6*'2'!$E$22/1000</f>
        <v>0.63599973939592835</v>
      </c>
      <c r="J255">
        <v>2016</v>
      </c>
      <c r="K255" t="s">
        <v>89</v>
      </c>
      <c r="L255" t="s">
        <v>154</v>
      </c>
    </row>
    <row r="256" spans="1:12" x14ac:dyDescent="0.3">
      <c r="A256">
        <v>254</v>
      </c>
      <c r="B256" t="s">
        <v>86</v>
      </c>
      <c r="C256">
        <v>2017</v>
      </c>
      <c r="D256" t="s">
        <v>150</v>
      </c>
      <c r="E256" t="s">
        <v>137</v>
      </c>
      <c r="F256" t="s">
        <v>160</v>
      </c>
      <c r="G256">
        <v>201.6</v>
      </c>
      <c r="H256" t="s">
        <v>4</v>
      </c>
      <c r="I256" s="74">
        <f>Tabelle_alle_Kennzahlen[[#This Row],[value (research)]]/3600000</f>
        <v>5.5999999999999999E-5</v>
      </c>
      <c r="J256">
        <v>2016</v>
      </c>
      <c r="K256" t="s">
        <v>89</v>
      </c>
      <c r="L256" t="s">
        <v>154</v>
      </c>
    </row>
    <row r="257" spans="1:12" x14ac:dyDescent="0.3">
      <c r="A257">
        <v>117</v>
      </c>
      <c r="B257" t="s">
        <v>48</v>
      </c>
      <c r="C257">
        <v>2014</v>
      </c>
      <c r="D257" t="s">
        <v>152</v>
      </c>
      <c r="E257" t="s">
        <v>136</v>
      </c>
      <c r="F257" t="s">
        <v>6</v>
      </c>
      <c r="G257">
        <v>238</v>
      </c>
      <c r="H257" t="s">
        <v>158</v>
      </c>
      <c r="I257" s="4">
        <f>Tabelle_alle_Kennzahlen[[#This Row],[value (research)]]/1000*'2'!$E$58</f>
        <v>28.631399999999999</v>
      </c>
      <c r="J257">
        <f>Tabelle_alle_Kennzahlen[[#This Row],[publication year]]</f>
        <v>2014</v>
      </c>
      <c r="K257" t="s">
        <v>140</v>
      </c>
      <c r="L257" t="s">
        <v>154</v>
      </c>
    </row>
    <row r="258" spans="1:12" x14ac:dyDescent="0.3">
      <c r="A258">
        <v>189</v>
      </c>
      <c r="B258" t="s">
        <v>54</v>
      </c>
      <c r="C258">
        <v>2019</v>
      </c>
      <c r="D258" t="s">
        <v>152</v>
      </c>
      <c r="E258" t="s">
        <v>136</v>
      </c>
      <c r="F258" t="s">
        <v>158</v>
      </c>
      <c r="G258">
        <v>29.5</v>
      </c>
      <c r="H258" t="s">
        <v>158</v>
      </c>
      <c r="I258" s="13">
        <f>Tabelle_alle_Kennzahlen[[#This Row],[value (research)]]</f>
        <v>29.5</v>
      </c>
      <c r="J258">
        <v>2017</v>
      </c>
      <c r="K258" t="s">
        <v>140</v>
      </c>
      <c r="L258" t="s">
        <v>154</v>
      </c>
    </row>
    <row r="259" spans="1:12" x14ac:dyDescent="0.3">
      <c r="A259">
        <v>272</v>
      </c>
      <c r="B259" t="s">
        <v>98</v>
      </c>
      <c r="C259">
        <v>2012</v>
      </c>
      <c r="D259" t="s">
        <v>152</v>
      </c>
      <c r="E259" t="s">
        <v>136</v>
      </c>
      <c r="F259" t="s">
        <v>158</v>
      </c>
      <c r="G259">
        <v>32</v>
      </c>
      <c r="H259" t="s">
        <v>158</v>
      </c>
      <c r="I259" s="4">
        <f>Tabelle_alle_Kennzahlen[[#This Row],[value (research)]]</f>
        <v>32</v>
      </c>
      <c r="J259">
        <v>2012</v>
      </c>
      <c r="K259" t="s">
        <v>140</v>
      </c>
      <c r="L259" t="s">
        <v>154</v>
      </c>
    </row>
    <row r="260" spans="1:12" x14ac:dyDescent="0.3">
      <c r="A260">
        <v>139</v>
      </c>
      <c r="B260" t="s">
        <v>52</v>
      </c>
      <c r="C260">
        <v>2015</v>
      </c>
      <c r="D260" t="s">
        <v>152</v>
      </c>
      <c r="E260" t="s">
        <v>136</v>
      </c>
      <c r="F260" t="s">
        <v>53</v>
      </c>
      <c r="G260">
        <v>620</v>
      </c>
      <c r="H260" t="s">
        <v>158</v>
      </c>
      <c r="I260" s="17">
        <f>Tabelle_alle_Kennzahlen[[#This Row],[value (research)]]*78.4/1000</f>
        <v>48.607999999999997</v>
      </c>
      <c r="J260">
        <f>Tabelle_alle_Kennzahlen[[#This Row],[publication year]]</f>
        <v>2015</v>
      </c>
      <c r="K260" t="s">
        <v>140</v>
      </c>
      <c r="L260" t="s">
        <v>154</v>
      </c>
    </row>
    <row r="261" spans="1:12" x14ac:dyDescent="0.3">
      <c r="A261">
        <v>130</v>
      </c>
      <c r="B261" t="s">
        <v>50</v>
      </c>
      <c r="C261">
        <v>2014</v>
      </c>
      <c r="D261" t="s">
        <v>152</v>
      </c>
      <c r="E261" t="s">
        <v>136</v>
      </c>
      <c r="F261" t="s">
        <v>6</v>
      </c>
      <c r="G261">
        <v>407</v>
      </c>
      <c r="H261" t="s">
        <v>158</v>
      </c>
      <c r="I261" s="4">
        <f>Tabelle_alle_Kennzahlen[[#This Row],[value (research)]]/1000*'2'!$E$58</f>
        <v>48.962099999999992</v>
      </c>
      <c r="J261">
        <f>Tabelle_alle_Kennzahlen[[#This Row],[publication year]]</f>
        <v>2014</v>
      </c>
      <c r="K261" t="s">
        <v>140</v>
      </c>
      <c r="L261" t="s">
        <v>154</v>
      </c>
    </row>
    <row r="262" spans="1:12" x14ac:dyDescent="0.3">
      <c r="A262">
        <v>220</v>
      </c>
      <c r="B262" t="s">
        <v>71</v>
      </c>
      <c r="C262">
        <v>2006</v>
      </c>
      <c r="D262" t="s">
        <v>152</v>
      </c>
      <c r="E262" t="s">
        <v>136</v>
      </c>
      <c r="F262" t="s">
        <v>69</v>
      </c>
      <c r="G262">
        <f>34.47/300</f>
        <v>0.1149</v>
      </c>
      <c r="H262" t="s">
        <v>158</v>
      </c>
      <c r="I262" s="32"/>
      <c r="J262">
        <f>Tabelle_alle_Kennzahlen[[#This Row],[publication year]]</f>
        <v>2006</v>
      </c>
      <c r="L262" t="s">
        <v>156</v>
      </c>
    </row>
    <row r="263" spans="1:12" x14ac:dyDescent="0.3">
      <c r="A263">
        <v>168</v>
      </c>
      <c r="B263" s="16" t="s">
        <v>92</v>
      </c>
      <c r="C263">
        <v>2017</v>
      </c>
      <c r="D263" t="s">
        <v>147</v>
      </c>
      <c r="E263" t="s">
        <v>136</v>
      </c>
      <c r="F263" t="s">
        <v>40</v>
      </c>
      <c r="G263">
        <v>17500</v>
      </c>
      <c r="H263" t="s">
        <v>158</v>
      </c>
      <c r="I263" s="13">
        <f>Tabelle_alle_Kennzahlen[[#This Row],[value (research)]]/1000000*'2'!E13</f>
        <v>0.75119722222222229</v>
      </c>
      <c r="J263">
        <v>2015</v>
      </c>
      <c r="K263" t="s">
        <v>89</v>
      </c>
      <c r="L263" t="s">
        <v>154</v>
      </c>
    </row>
    <row r="264" spans="1:12" x14ac:dyDescent="0.3">
      <c r="A264">
        <v>262</v>
      </c>
      <c r="B264" t="s">
        <v>94</v>
      </c>
      <c r="C264">
        <v>2015</v>
      </c>
      <c r="D264" t="s">
        <v>150</v>
      </c>
      <c r="E264" t="s">
        <v>136</v>
      </c>
      <c r="F264" t="s">
        <v>40</v>
      </c>
      <c r="G264">
        <v>12949</v>
      </c>
      <c r="H264" t="s">
        <v>158</v>
      </c>
      <c r="I264" s="13">
        <f>Tabelle_alle_Kennzahlen[[#This Row],[value (research)]]/1000000*'2'!$E$22</f>
        <v>0.61230934018125482</v>
      </c>
      <c r="J264">
        <f>Tabelle_alle_Kennzahlen[[#This Row],[publication year]]</f>
        <v>2015</v>
      </c>
      <c r="K264" t="s">
        <v>89</v>
      </c>
      <c r="L264" t="s">
        <v>154</v>
      </c>
    </row>
    <row r="265" spans="1:12" x14ac:dyDescent="0.3">
      <c r="A265">
        <v>263</v>
      </c>
      <c r="B265" t="s">
        <v>94</v>
      </c>
      <c r="C265">
        <v>2015</v>
      </c>
      <c r="D265" t="s">
        <v>150</v>
      </c>
      <c r="E265" t="s">
        <v>136</v>
      </c>
      <c r="F265" t="s">
        <v>40</v>
      </c>
      <c r="G265">
        <v>15200</v>
      </c>
      <c r="H265" t="s">
        <v>158</v>
      </c>
      <c r="I265" s="13">
        <f>Tabelle_alle_Kennzahlen[[#This Row],[value (research)]]/1000000*'2'!$E$22</f>
        <v>0.71875063485636526</v>
      </c>
      <c r="J265">
        <f>Tabelle_alle_Kennzahlen[[#This Row],[publication year]]</f>
        <v>2015</v>
      </c>
      <c r="K265" t="s">
        <v>89</v>
      </c>
      <c r="L265" t="s">
        <v>154</v>
      </c>
    </row>
    <row r="266" spans="1:12" x14ac:dyDescent="0.3">
      <c r="A266">
        <v>264</v>
      </c>
      <c r="B266" t="s">
        <v>94</v>
      </c>
      <c r="C266">
        <v>2015</v>
      </c>
      <c r="D266" t="s">
        <v>150</v>
      </c>
      <c r="E266" t="s">
        <v>136</v>
      </c>
      <c r="F266" t="s">
        <v>40</v>
      </c>
      <c r="G266">
        <v>21112</v>
      </c>
      <c r="H266" t="s">
        <v>158</v>
      </c>
      <c r="I266" s="13">
        <f>Tabelle_alle_Kennzahlen[[#This Row],[value (research)]]/1000000*'2'!$E$22</f>
        <v>0.99830680283470929</v>
      </c>
      <c r="J266">
        <f>Tabelle_alle_Kennzahlen[[#This Row],[publication year]]</f>
        <v>2015</v>
      </c>
      <c r="K266" t="s">
        <v>89</v>
      </c>
      <c r="L266" t="s">
        <v>154</v>
      </c>
    </row>
    <row r="267" spans="1:12" x14ac:dyDescent="0.3">
      <c r="A267">
        <v>221</v>
      </c>
      <c r="B267" t="s">
        <v>72</v>
      </c>
      <c r="C267">
        <v>2006</v>
      </c>
      <c r="D267" t="s">
        <v>152</v>
      </c>
      <c r="E267" t="s">
        <v>136</v>
      </c>
      <c r="F267" t="s">
        <v>69</v>
      </c>
      <c r="G267">
        <f>139.58/300</f>
        <v>0.46526666666666672</v>
      </c>
      <c r="H267" t="s">
        <v>158</v>
      </c>
      <c r="I267" s="32"/>
      <c r="J267">
        <f>Tabelle_alle_Kennzahlen[[#This Row],[publication year]]</f>
        <v>2006</v>
      </c>
      <c r="K267" t="s">
        <v>140</v>
      </c>
      <c r="L267" t="s">
        <v>156</v>
      </c>
    </row>
    <row r="268" spans="1:12" x14ac:dyDescent="0.3">
      <c r="A268">
        <v>266</v>
      </c>
      <c r="B268" t="s">
        <v>95</v>
      </c>
      <c r="C268">
        <v>2019</v>
      </c>
      <c r="D268" t="s">
        <v>1</v>
      </c>
      <c r="E268" t="s">
        <v>136</v>
      </c>
      <c r="F268" t="s">
        <v>158</v>
      </c>
      <c r="G268">
        <v>1.7681199999999999</v>
      </c>
      <c r="H268" t="s">
        <v>158</v>
      </c>
      <c r="I268" s="4">
        <f>Tabelle_alle_Kennzahlen[[#This Row],[value (research)]]</f>
        <v>1.7681199999999999</v>
      </c>
      <c r="J268">
        <v>2017</v>
      </c>
      <c r="K268" t="s">
        <v>89</v>
      </c>
      <c r="L268" t="s">
        <v>154</v>
      </c>
    </row>
    <row r="269" spans="1:12" x14ac:dyDescent="0.3">
      <c r="A269">
        <v>267</v>
      </c>
      <c r="B269" t="s">
        <v>95</v>
      </c>
      <c r="C269">
        <v>2019</v>
      </c>
      <c r="D269" t="s">
        <v>1</v>
      </c>
      <c r="E269" t="s">
        <v>136</v>
      </c>
      <c r="F269" t="s">
        <v>158</v>
      </c>
      <c r="G269">
        <v>2.18167</v>
      </c>
      <c r="H269" t="s">
        <v>158</v>
      </c>
      <c r="I269" s="4">
        <f>Tabelle_alle_Kennzahlen[[#This Row],[value (research)]]</f>
        <v>2.18167</v>
      </c>
      <c r="J269">
        <v>2017</v>
      </c>
      <c r="K269" t="s">
        <v>89</v>
      </c>
      <c r="L269" t="s">
        <v>154</v>
      </c>
    </row>
    <row r="270" spans="1:12" x14ac:dyDescent="0.3">
      <c r="A270">
        <v>268</v>
      </c>
      <c r="B270" t="s">
        <v>95</v>
      </c>
      <c r="C270">
        <v>2019</v>
      </c>
      <c r="D270" t="s">
        <v>30</v>
      </c>
      <c r="E270" t="s">
        <v>136</v>
      </c>
      <c r="F270" t="s">
        <v>158</v>
      </c>
      <c r="G270">
        <v>0.78631099999999998</v>
      </c>
      <c r="H270" t="s">
        <v>158</v>
      </c>
      <c r="I270" s="4">
        <f>Tabelle_alle_Kennzahlen[[#This Row],[value (research)]]</f>
        <v>0.78631099999999998</v>
      </c>
      <c r="J270">
        <v>2017</v>
      </c>
      <c r="K270" t="s">
        <v>89</v>
      </c>
      <c r="L270" t="s">
        <v>154</v>
      </c>
    </row>
    <row r="271" spans="1:12" x14ac:dyDescent="0.3">
      <c r="A271">
        <v>269</v>
      </c>
      <c r="B271" t="s">
        <v>96</v>
      </c>
      <c r="C271">
        <v>2019</v>
      </c>
      <c r="D271" t="s">
        <v>152</v>
      </c>
      <c r="E271" t="s">
        <v>137</v>
      </c>
      <c r="F271" t="s">
        <v>4</v>
      </c>
      <c r="G271">
        <v>0</v>
      </c>
      <c r="H271" t="s">
        <v>4</v>
      </c>
      <c r="I271" s="4">
        <f>Tabelle_alle_Kennzahlen[[#This Row],[value (research)]]</f>
        <v>0</v>
      </c>
      <c r="K271" t="s">
        <v>89</v>
      </c>
      <c r="L271" t="s">
        <v>154</v>
      </c>
    </row>
    <row r="272" spans="1:12" x14ac:dyDescent="0.3">
      <c r="A272">
        <v>270</v>
      </c>
      <c r="B272" t="s">
        <v>95</v>
      </c>
      <c r="C272">
        <v>2019</v>
      </c>
      <c r="D272" t="s">
        <v>30</v>
      </c>
      <c r="E272" t="s">
        <v>136</v>
      </c>
      <c r="F272" t="s">
        <v>158</v>
      </c>
      <c r="G272">
        <v>0.92306999999999995</v>
      </c>
      <c r="H272" t="s">
        <v>158</v>
      </c>
      <c r="I272" s="4">
        <f>Tabelle_alle_Kennzahlen[[#This Row],[value (research)]]</f>
        <v>0.92306999999999995</v>
      </c>
      <c r="J272">
        <v>2017</v>
      </c>
      <c r="K272" t="s">
        <v>89</v>
      </c>
      <c r="L272" t="s">
        <v>154</v>
      </c>
    </row>
    <row r="273" spans="1:12" x14ac:dyDescent="0.3">
      <c r="A273">
        <v>271</v>
      </c>
      <c r="B273" t="s">
        <v>95</v>
      </c>
      <c r="C273">
        <v>2019</v>
      </c>
      <c r="D273" t="s">
        <v>87</v>
      </c>
      <c r="E273" t="s">
        <v>136</v>
      </c>
      <c r="F273" t="s">
        <v>158</v>
      </c>
      <c r="G273">
        <v>2.7416999999999998</v>
      </c>
      <c r="H273" t="s">
        <v>158</v>
      </c>
      <c r="I273" s="4">
        <f>Tabelle_alle_Kennzahlen[[#This Row],[value (research)]]</f>
        <v>2.7416999999999998</v>
      </c>
      <c r="J273">
        <v>2017</v>
      </c>
      <c r="K273" t="s">
        <v>89</v>
      </c>
      <c r="L273" t="s">
        <v>154</v>
      </c>
    </row>
    <row r="274" spans="1:12" x14ac:dyDescent="0.3">
      <c r="A274">
        <v>222</v>
      </c>
      <c r="B274" t="s">
        <v>73</v>
      </c>
      <c r="C274">
        <v>2006</v>
      </c>
      <c r="D274" t="s">
        <v>152</v>
      </c>
      <c r="E274" t="s">
        <v>136</v>
      </c>
      <c r="F274" t="s">
        <v>69</v>
      </c>
      <c r="G274">
        <f>4.48/300</f>
        <v>1.4933333333333335E-2</v>
      </c>
      <c r="H274" t="s">
        <v>158</v>
      </c>
      <c r="I274" s="32"/>
      <c r="J274">
        <f>Tabelle_alle_Kennzahlen[[#This Row],[publication year]]</f>
        <v>2006</v>
      </c>
      <c r="K274" t="s">
        <v>139</v>
      </c>
      <c r="L274" t="s">
        <v>156</v>
      </c>
    </row>
    <row r="275" spans="1:12" x14ac:dyDescent="0.3">
      <c r="A275">
        <v>223</v>
      </c>
      <c r="B275" t="s">
        <v>74</v>
      </c>
      <c r="C275">
        <v>2006</v>
      </c>
      <c r="D275" t="s">
        <v>152</v>
      </c>
      <c r="E275" t="s">
        <v>136</v>
      </c>
      <c r="F275" t="s">
        <v>69</v>
      </c>
      <c r="G275">
        <f>35.69/300</f>
        <v>0.11896666666666667</v>
      </c>
      <c r="H275" t="s">
        <v>158</v>
      </c>
      <c r="I275" s="32"/>
      <c r="J275">
        <f>Tabelle_alle_Kennzahlen[[#This Row],[publication year]]</f>
        <v>2006</v>
      </c>
      <c r="L275" t="s">
        <v>156</v>
      </c>
    </row>
    <row r="276" spans="1:12" x14ac:dyDescent="0.3">
      <c r="A276">
        <v>224</v>
      </c>
      <c r="B276" t="s">
        <v>71</v>
      </c>
      <c r="C276">
        <v>2006</v>
      </c>
      <c r="D276" t="s">
        <v>152</v>
      </c>
      <c r="E276" t="s">
        <v>136</v>
      </c>
      <c r="F276" t="s">
        <v>69</v>
      </c>
      <c r="G276">
        <f>31/300</f>
        <v>0.10333333333333333</v>
      </c>
      <c r="H276" t="s">
        <v>158</v>
      </c>
      <c r="I276" s="32"/>
      <c r="J276">
        <f>Tabelle_alle_Kennzahlen[[#This Row],[publication year]]</f>
        <v>2006</v>
      </c>
      <c r="L276" t="s">
        <v>156</v>
      </c>
    </row>
    <row r="277" spans="1:12" x14ac:dyDescent="0.3">
      <c r="A277">
        <v>225</v>
      </c>
      <c r="B277" t="s">
        <v>72</v>
      </c>
      <c r="C277">
        <v>2006</v>
      </c>
      <c r="D277" t="s">
        <v>152</v>
      </c>
      <c r="E277" t="s">
        <v>136</v>
      </c>
      <c r="F277" t="s">
        <v>69</v>
      </c>
      <c r="G277">
        <f>139.26/300</f>
        <v>0.46419999999999995</v>
      </c>
      <c r="H277" t="s">
        <v>158</v>
      </c>
      <c r="I277" s="32"/>
      <c r="J277">
        <f>Tabelle_alle_Kennzahlen[[#This Row],[publication year]]</f>
        <v>2006</v>
      </c>
      <c r="K277" t="s">
        <v>140</v>
      </c>
      <c r="L277" t="s">
        <v>156</v>
      </c>
    </row>
    <row r="278" spans="1:12" x14ac:dyDescent="0.3">
      <c r="A278">
        <v>226</v>
      </c>
      <c r="B278" t="s">
        <v>73</v>
      </c>
      <c r="C278">
        <v>2006</v>
      </c>
      <c r="D278" t="s">
        <v>152</v>
      </c>
      <c r="E278" t="s">
        <v>136</v>
      </c>
      <c r="F278" t="s">
        <v>69</v>
      </c>
      <c r="G278">
        <f>1.83/300</f>
        <v>6.1000000000000004E-3</v>
      </c>
      <c r="H278" t="s">
        <v>158</v>
      </c>
      <c r="I278" s="32"/>
      <c r="J278">
        <f>Tabelle_alle_Kennzahlen[[#This Row],[publication year]]</f>
        <v>2006</v>
      </c>
      <c r="K278" t="s">
        <v>139</v>
      </c>
      <c r="L278" t="s">
        <v>156</v>
      </c>
    </row>
    <row r="279" spans="1:12" x14ac:dyDescent="0.3">
      <c r="A279">
        <v>227</v>
      </c>
      <c r="B279" t="s">
        <v>74</v>
      </c>
      <c r="C279">
        <v>2006</v>
      </c>
      <c r="D279" t="s">
        <v>152</v>
      </c>
      <c r="E279" t="s">
        <v>136</v>
      </c>
      <c r="F279" t="s">
        <v>69</v>
      </c>
      <c r="G279">
        <f>33.48/300</f>
        <v>0.11159999999999999</v>
      </c>
      <c r="H279" t="s">
        <v>158</v>
      </c>
      <c r="I279" s="32"/>
      <c r="J279">
        <f>Tabelle_alle_Kennzahlen[[#This Row],[publication year]]</f>
        <v>2006</v>
      </c>
      <c r="L279" t="s">
        <v>156</v>
      </c>
    </row>
    <row r="280" spans="1:12" x14ac:dyDescent="0.3">
      <c r="A280">
        <v>278</v>
      </c>
      <c r="B280" t="s">
        <v>100</v>
      </c>
      <c r="C280">
        <v>2011</v>
      </c>
      <c r="D280" t="s">
        <v>87</v>
      </c>
      <c r="E280" t="s">
        <v>136</v>
      </c>
      <c r="F280" t="s">
        <v>161</v>
      </c>
      <c r="G280">
        <v>25156</v>
      </c>
      <c r="H280" t="s">
        <v>158</v>
      </c>
      <c r="I280" s="13">
        <f>Tabelle_alle_Kennzahlen[[#This Row],[value (research)]]*'2'!$E$67/1000000</f>
        <v>1.1895323006872844</v>
      </c>
      <c r="J280">
        <v>2020</v>
      </c>
      <c r="L280" t="s">
        <v>154</v>
      </c>
    </row>
    <row r="281" spans="1:12" x14ac:dyDescent="0.3">
      <c r="A281">
        <v>279</v>
      </c>
      <c r="B281" t="s">
        <v>101</v>
      </c>
      <c r="C281">
        <v>2011</v>
      </c>
      <c r="D281" t="s">
        <v>87</v>
      </c>
      <c r="E281" t="s">
        <v>136</v>
      </c>
      <c r="F281" t="s">
        <v>161</v>
      </c>
      <c r="G281">
        <v>15567</v>
      </c>
      <c r="H281" t="s">
        <v>158</v>
      </c>
      <c r="I281" s="13">
        <f>Tabelle_alle_Kennzahlen[[#This Row],[value (research)]]*'2'!$E$67/1000000</f>
        <v>0.73610467979006822</v>
      </c>
      <c r="J281">
        <v>2020</v>
      </c>
      <c r="L281" t="s">
        <v>154</v>
      </c>
    </row>
    <row r="282" spans="1:12" x14ac:dyDescent="0.3">
      <c r="A282">
        <v>280</v>
      </c>
      <c r="B282" t="s">
        <v>102</v>
      </c>
      <c r="C282">
        <v>2011</v>
      </c>
      <c r="D282" t="s">
        <v>87</v>
      </c>
      <c r="E282" t="s">
        <v>136</v>
      </c>
      <c r="F282" t="s">
        <v>161</v>
      </c>
      <c r="G282">
        <v>10686</v>
      </c>
      <c r="H282" t="s">
        <v>158</v>
      </c>
      <c r="I282" s="13">
        <f>Tabelle_alle_Kennzahlen[[#This Row],[value (research)]]*'2'!$E$67/1000000</f>
        <v>0.50530061079441568</v>
      </c>
      <c r="J282">
        <v>2020</v>
      </c>
      <c r="K282" t="s">
        <v>139</v>
      </c>
      <c r="L282" t="s">
        <v>154</v>
      </c>
    </row>
    <row r="283" spans="1:12" x14ac:dyDescent="0.3">
      <c r="A283">
        <v>281</v>
      </c>
      <c r="B283" t="s">
        <v>103</v>
      </c>
      <c r="C283">
        <v>2011</v>
      </c>
      <c r="D283" t="s">
        <v>87</v>
      </c>
      <c r="E283" t="s">
        <v>136</v>
      </c>
      <c r="F283" t="s">
        <v>161</v>
      </c>
      <c r="G283">
        <v>16506</v>
      </c>
      <c r="H283" t="s">
        <v>158</v>
      </c>
      <c r="I283" s="13">
        <f>Tabelle_alle_Kennzahlen[[#This Row],[value (research)]]*'2'!$E$67/1000000</f>
        <v>0.7805064459828398</v>
      </c>
      <c r="J283">
        <v>2020</v>
      </c>
      <c r="L283" t="s">
        <v>154</v>
      </c>
    </row>
    <row r="284" spans="1:12" x14ac:dyDescent="0.3">
      <c r="A284">
        <v>282</v>
      </c>
      <c r="B284" t="s">
        <v>104</v>
      </c>
      <c r="C284">
        <v>2011</v>
      </c>
      <c r="D284" t="s">
        <v>87</v>
      </c>
      <c r="E284" t="s">
        <v>136</v>
      </c>
      <c r="F284" t="s">
        <v>161</v>
      </c>
      <c r="G284">
        <v>12905</v>
      </c>
      <c r="H284" t="s">
        <v>158</v>
      </c>
      <c r="I284" s="13">
        <f>Tabelle_alle_Kennzahlen[[#This Row],[value (research)]]*'2'!$E$67/1000000</f>
        <v>0.61022874623824963</v>
      </c>
      <c r="J284">
        <v>2020</v>
      </c>
      <c r="L284" t="s">
        <v>154</v>
      </c>
    </row>
    <row r="285" spans="1:12" x14ac:dyDescent="0.3">
      <c r="A285">
        <v>283</v>
      </c>
      <c r="B285" t="s">
        <v>105</v>
      </c>
      <c r="C285">
        <v>2011</v>
      </c>
      <c r="D285" t="s">
        <v>87</v>
      </c>
      <c r="E285" t="s">
        <v>136</v>
      </c>
      <c r="F285" t="s">
        <v>161</v>
      </c>
      <c r="G285">
        <v>39390</v>
      </c>
      <c r="H285" t="s">
        <v>158</v>
      </c>
      <c r="I285" s="13">
        <f>Tabelle_alle_Kennzahlen[[#This Row],[value (research)]]*'2'!$E$67/1000000</f>
        <v>1.8626044412494887</v>
      </c>
      <c r="J285">
        <v>2020</v>
      </c>
      <c r="L285" t="s">
        <v>154</v>
      </c>
    </row>
    <row r="286" spans="1:12" x14ac:dyDescent="0.3">
      <c r="A286">
        <v>284</v>
      </c>
      <c r="B286" t="s">
        <v>106</v>
      </c>
      <c r="C286">
        <v>2011</v>
      </c>
      <c r="D286" t="s">
        <v>87</v>
      </c>
      <c r="E286" t="s">
        <v>136</v>
      </c>
      <c r="F286" t="s">
        <v>161</v>
      </c>
      <c r="G286">
        <v>18942</v>
      </c>
      <c r="H286" t="s">
        <v>158</v>
      </c>
      <c r="I286" s="13">
        <f>Tabelle_alle_Kennzahlen[[#This Row],[value (research)]]*'2'!$E$67/1000000</f>
        <v>0.89569569246376768</v>
      </c>
      <c r="J286">
        <v>2030</v>
      </c>
      <c r="L286" t="s">
        <v>156</v>
      </c>
    </row>
    <row r="287" spans="1:12" x14ac:dyDescent="0.3">
      <c r="A287">
        <v>285</v>
      </c>
      <c r="B287" t="s">
        <v>107</v>
      </c>
      <c r="C287">
        <v>2008</v>
      </c>
      <c r="D287" t="s">
        <v>87</v>
      </c>
      <c r="E287" t="s">
        <v>136</v>
      </c>
      <c r="F287" t="s">
        <v>161</v>
      </c>
      <c r="G287">
        <v>10392</v>
      </c>
      <c r="H287" t="s">
        <v>158</v>
      </c>
      <c r="I287" s="13">
        <f>Tabelle_alle_Kennzahlen[[#This Row],[value (research)]]*'2'!$E$67/1000000</f>
        <v>0.49139846035706236</v>
      </c>
      <c r="J287">
        <v>2030</v>
      </c>
      <c r="L287" t="s">
        <v>156</v>
      </c>
    </row>
    <row r="288" spans="1:12" x14ac:dyDescent="0.3">
      <c r="A288">
        <v>286</v>
      </c>
      <c r="B288" t="s">
        <v>108</v>
      </c>
      <c r="C288">
        <v>2008</v>
      </c>
      <c r="D288" t="s">
        <v>87</v>
      </c>
      <c r="E288" t="s">
        <v>136</v>
      </c>
      <c r="F288" t="s">
        <v>161</v>
      </c>
      <c r="G288">
        <v>35183</v>
      </c>
      <c r="H288" t="s">
        <v>158</v>
      </c>
      <c r="I288" s="13">
        <f>Tabelle_alle_Kennzahlen[[#This Row],[value (research)]]*'2'!$E$67/1000000</f>
        <v>1.6636712885625984</v>
      </c>
      <c r="J288">
        <v>2030</v>
      </c>
      <c r="L288" t="s">
        <v>156</v>
      </c>
    </row>
    <row r="289" spans="1:12" x14ac:dyDescent="0.3">
      <c r="A289">
        <v>287</v>
      </c>
      <c r="B289" t="s">
        <v>109</v>
      </c>
      <c r="C289">
        <v>2008</v>
      </c>
      <c r="D289" t="s">
        <v>87</v>
      </c>
      <c r="E289" t="s">
        <v>136</v>
      </c>
      <c r="F289" t="s">
        <v>161</v>
      </c>
      <c r="G289">
        <v>10967</v>
      </c>
      <c r="H289" t="s">
        <v>158</v>
      </c>
      <c r="I289" s="13">
        <f>Tabelle_alle_Kennzahlen[[#This Row],[value (research)]]*'2'!$E$67/1000000</f>
        <v>0.51858804029406302</v>
      </c>
      <c r="J289">
        <v>2030</v>
      </c>
      <c r="L289" t="s">
        <v>156</v>
      </c>
    </row>
    <row r="290" spans="1:12" x14ac:dyDescent="0.3">
      <c r="A290">
        <v>288</v>
      </c>
      <c r="B290" t="s">
        <v>110</v>
      </c>
      <c r="C290">
        <v>2011</v>
      </c>
      <c r="D290" t="s">
        <v>87</v>
      </c>
      <c r="E290" t="s">
        <v>136</v>
      </c>
      <c r="F290" t="s">
        <v>161</v>
      </c>
      <c r="G290">
        <v>9490</v>
      </c>
      <c r="H290" t="s">
        <v>158</v>
      </c>
      <c r="I290" s="13">
        <f>Tabelle_alle_Kennzahlen[[#This Row],[value (research)]]*'2'!$E$67/1000000</f>
        <v>0.44874628452545434</v>
      </c>
      <c r="J290">
        <v>2030</v>
      </c>
      <c r="K290" t="s">
        <v>139</v>
      </c>
      <c r="L290" t="s">
        <v>156</v>
      </c>
    </row>
    <row r="291" spans="1:12" x14ac:dyDescent="0.3">
      <c r="A291">
        <v>289</v>
      </c>
      <c r="B291" t="s">
        <v>111</v>
      </c>
      <c r="C291">
        <v>2011</v>
      </c>
      <c r="D291" t="s">
        <v>87</v>
      </c>
      <c r="E291" t="s">
        <v>136</v>
      </c>
      <c r="F291" t="s">
        <v>161</v>
      </c>
      <c r="G291">
        <v>15444</v>
      </c>
      <c r="H291" t="s">
        <v>158</v>
      </c>
      <c r="I291" s="13">
        <f>Tabelle_alle_Kennzahlen[[#This Row],[value (research)]]*'2'!$E$67/1000000</f>
        <v>0.73028847399484897</v>
      </c>
      <c r="J291">
        <v>2030</v>
      </c>
      <c r="L291" t="s">
        <v>156</v>
      </c>
    </row>
    <row r="292" spans="1:12" x14ac:dyDescent="0.3">
      <c r="A292">
        <v>290</v>
      </c>
      <c r="B292" t="s">
        <v>112</v>
      </c>
      <c r="C292">
        <v>2008</v>
      </c>
      <c r="D292" t="s">
        <v>87</v>
      </c>
      <c r="E292" t="s">
        <v>136</v>
      </c>
      <c r="F292" t="s">
        <v>161</v>
      </c>
      <c r="G292">
        <v>8850</v>
      </c>
      <c r="H292" t="s">
        <v>158</v>
      </c>
      <c r="I292" s="13">
        <f>Tabelle_alle_Kennzahlen[[#This Row],[value (research)]]*'2'!$E$67/1000000</f>
        <v>0.41848309989992316</v>
      </c>
      <c r="J292">
        <v>2030</v>
      </c>
      <c r="L292" t="s">
        <v>156</v>
      </c>
    </row>
    <row r="293" spans="1:12" x14ac:dyDescent="0.3">
      <c r="A293">
        <v>291</v>
      </c>
      <c r="B293" t="s">
        <v>113</v>
      </c>
      <c r="C293">
        <v>2011</v>
      </c>
      <c r="D293" t="s">
        <v>87</v>
      </c>
      <c r="E293" t="s">
        <v>136</v>
      </c>
      <c r="F293" t="s">
        <v>161</v>
      </c>
      <c r="G293">
        <v>11896</v>
      </c>
      <c r="H293" t="s">
        <v>158</v>
      </c>
      <c r="I293" s="13">
        <f>Tabelle_alle_Kennzahlen[[#This Row],[value (research)]]*'2'!$E$67/1000000</f>
        <v>0.56251694422706056</v>
      </c>
      <c r="J293">
        <v>2030</v>
      </c>
      <c r="L293" t="s">
        <v>156</v>
      </c>
    </row>
    <row r="294" spans="1:12" x14ac:dyDescent="0.3">
      <c r="A294">
        <v>292</v>
      </c>
      <c r="B294" t="s">
        <v>114</v>
      </c>
      <c r="C294">
        <v>2008</v>
      </c>
      <c r="D294" t="s">
        <v>87</v>
      </c>
      <c r="E294" t="s">
        <v>136</v>
      </c>
      <c r="F294" t="s">
        <v>161</v>
      </c>
      <c r="G294">
        <v>8186</v>
      </c>
      <c r="H294" t="s">
        <v>158</v>
      </c>
      <c r="I294" s="13">
        <f>Tabelle_alle_Kennzahlen[[#This Row],[value (research)]]*'2'!$E$67/1000000</f>
        <v>0.38708504585093456</v>
      </c>
      <c r="J294">
        <v>2030</v>
      </c>
      <c r="K294" t="s">
        <v>139</v>
      </c>
      <c r="L294" t="s">
        <v>156</v>
      </c>
    </row>
    <row r="295" spans="1:12" x14ac:dyDescent="0.3">
      <c r="A295" s="77">
        <v>293</v>
      </c>
      <c r="B295" t="s">
        <v>96</v>
      </c>
      <c r="C295">
        <v>2019</v>
      </c>
      <c r="D295" t="s">
        <v>87</v>
      </c>
      <c r="E295" t="s">
        <v>168</v>
      </c>
      <c r="F295" t="s">
        <v>14</v>
      </c>
      <c r="G295" s="2">
        <f>'2'!$E$67</f>
        <v>47.286225977392448</v>
      </c>
      <c r="H295" t="s">
        <v>14</v>
      </c>
      <c r="I295" s="2">
        <f>Tabelle_alle_Kennzahlen[[#This Row],[value (research)]]</f>
        <v>47.286225977392448</v>
      </c>
      <c r="J295">
        <f>Tabelle_alle_Kennzahlen[[#This Row],[publication year]]</f>
        <v>2019</v>
      </c>
      <c r="K295" t="s">
        <v>89</v>
      </c>
      <c r="L295" t="s">
        <v>154</v>
      </c>
    </row>
  </sheetData>
  <mergeCells count="1">
    <mergeCell ref="A1:L1"/>
  </mergeCells>
  <conditionalFormatting sqref="L3:L295">
    <cfRule type="containsText" dxfId="1" priority="1" operator="containsText" text="no">
      <formula>NOT(ISERROR(SEARCH("no",L3)))</formula>
    </cfRule>
    <cfRule type="containsText" dxfId="0" priority="2" operator="containsText" text="yes">
      <formula>NOT(ISERROR(SEARCH("yes",L3)))</formula>
    </cfRule>
  </conditionalFormatting>
  <pageMargins left="0.7" right="0.7" top="0.78740157499999996" bottom="0.78740157499999996" header="0.3" footer="0.3"/>
  <pageSetup paperSize="9" orientation="portrait" r:id="rId1"/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2" tint="-0.249977111117893"/>
  </sheetPr>
  <dimension ref="B1:XFD73"/>
  <sheetViews>
    <sheetView workbookViewId="0"/>
  </sheetViews>
  <sheetFormatPr defaultColWidth="11.5546875" defaultRowHeight="14.4" x14ac:dyDescent="0.3"/>
  <cols>
    <col min="1" max="1" width="3.6640625" customWidth="1"/>
    <col min="2" max="2" width="14.33203125" style="22" bestFit="1" customWidth="1"/>
    <col min="3" max="3" width="19.88671875" style="21" bestFit="1" customWidth="1"/>
    <col min="4" max="4" width="5" customWidth="1"/>
    <col min="5" max="5" width="19.6640625" style="21" customWidth="1"/>
    <col min="6" max="6" width="18.44140625" style="19" bestFit="1" customWidth="1"/>
    <col min="7" max="7" width="18.44140625" style="19" customWidth="1"/>
    <col min="8" max="8" width="5" style="21" customWidth="1"/>
    <col min="9" max="9" width="19.6640625" style="21" customWidth="1"/>
    <col min="10" max="10" width="18.44140625" style="19" bestFit="1" customWidth="1"/>
    <col min="11" max="11" width="12.33203125" customWidth="1"/>
    <col min="12" max="12" width="13.6640625" bestFit="1" customWidth="1"/>
    <col min="13" max="13" width="19.88671875" bestFit="1" customWidth="1"/>
    <col min="14" max="14" width="12.44140625" bestFit="1" customWidth="1"/>
    <col min="18" max="18" width="12" bestFit="1" customWidth="1"/>
  </cols>
  <sheetData>
    <row r="1" spans="2:16384" s="23" customFormat="1" ht="43.5" customHeight="1" x14ac:dyDescent="0.3">
      <c r="B1" s="24"/>
      <c r="E1" s="28" t="s">
        <v>162</v>
      </c>
      <c r="F1" s="31" t="s">
        <v>163</v>
      </c>
      <c r="G1" s="20" t="s">
        <v>164</v>
      </c>
      <c r="I1" s="28" t="s">
        <v>165</v>
      </c>
      <c r="J1" s="31" t="s">
        <v>63</v>
      </c>
      <c r="K1"/>
      <c r="L1" s="29" t="s">
        <v>166</v>
      </c>
      <c r="M1" s="30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3" spans="2:16384" x14ac:dyDescent="0.3">
      <c r="B3" s="83" t="s">
        <v>142</v>
      </c>
      <c r="C3" s="23"/>
      <c r="D3" s="18"/>
      <c r="E3" s="23" t="s">
        <v>182</v>
      </c>
      <c r="F3" s="20"/>
      <c r="G3" s="20"/>
      <c r="H3" s="23"/>
      <c r="I3" s="23" t="s">
        <v>182</v>
      </c>
      <c r="J3" s="20"/>
      <c r="L3" s="30" t="s">
        <v>126</v>
      </c>
      <c r="M3" s="30" t="s">
        <v>127</v>
      </c>
      <c r="N3" s="30" t="s">
        <v>133</v>
      </c>
    </row>
    <row r="4" spans="2:16384" x14ac:dyDescent="0.3">
      <c r="B4" s="83"/>
      <c r="C4" s="23" t="s">
        <v>168</v>
      </c>
      <c r="D4" s="18"/>
      <c r="E4" s="26">
        <f>AVERAGEIFS(Tabelle_alle_Kennzahlen[value (converted)],Tabelle_alle_Kennzahlen[fuel type],"petrol",Tabelle_alle_Kennzahlen[characteristic],"lower heating value",Tabelle_alle_Kennzahlen[viability],"yes")</f>
        <v>42.977333333333334</v>
      </c>
      <c r="F4" s="20">
        <f>COUNTIFS(Tabelle_alle_Kennzahlen[[#All],[fuel type]],"=petrol",Tabelle_alle_Kennzahlen[[#All],[characteristic]],"=lower heating value",Tabelle_alle_Kennzahlen[[#All],[viability]],"=yes")</f>
        <v>9</v>
      </c>
      <c r="G4" s="20" t="s">
        <v>14</v>
      </c>
      <c r="H4" s="23"/>
      <c r="I4" s="26">
        <f>DSTDEV(Tabelle_alle_Kennzahlen[#All],'2'!I3,'2'!L3:N4)</f>
        <v>0.86509927176018386</v>
      </c>
      <c r="J4" s="20">
        <f>COUNTIFS(Tabelle_alle_Kennzahlen[[#All],[fuel type]],"=petrol",Tabelle_alle_Kennzahlen[[#All],[characteristic]],"=lower heating value",Tabelle_alle_Kennzahlen[[#All],[viability]],"=yes")</f>
        <v>9</v>
      </c>
      <c r="L4" s="30" t="s">
        <v>142</v>
      </c>
      <c r="M4" s="30" t="s">
        <v>168</v>
      </c>
      <c r="N4" s="30" t="s">
        <v>154</v>
      </c>
    </row>
    <row r="5" spans="2:16384" x14ac:dyDescent="0.3">
      <c r="B5" s="83"/>
      <c r="C5" s="23"/>
      <c r="D5" s="18"/>
      <c r="E5" s="27"/>
      <c r="F5" s="20"/>
      <c r="G5" s="20"/>
      <c r="H5" s="23"/>
      <c r="I5" s="27"/>
      <c r="J5" s="20"/>
      <c r="L5" s="30" t="s">
        <v>126</v>
      </c>
      <c r="M5" s="30" t="s">
        <v>127</v>
      </c>
      <c r="N5" s="30" t="s">
        <v>133</v>
      </c>
    </row>
    <row r="6" spans="2:16384" x14ac:dyDescent="0.3">
      <c r="B6" s="83"/>
      <c r="C6" s="23" t="s">
        <v>134</v>
      </c>
      <c r="D6" s="18"/>
      <c r="E6" s="26">
        <f>AVERAGEIFS(Tabelle_alle_Kennzahlen[value (converted)],Tabelle_alle_Kennzahlen[fuel type],"petrol",Tabelle_alle_Kennzahlen[characteristic],"density",Tabelle_alle_Kennzahlen[viability],"yes")</f>
        <v>0.74524999999999997</v>
      </c>
      <c r="F6" s="20">
        <f>COUNTIFS(Tabelle_alle_Kennzahlen[[#All],[fuel type]],"=petrol",Tabelle_alle_Kennzahlen[[#All],[characteristic]],"=density",Tabelle_alle_Kennzahlen[[#All],[viability]],"=yes")</f>
        <v>4</v>
      </c>
      <c r="G6" s="20" t="s">
        <v>19</v>
      </c>
      <c r="H6" s="23"/>
      <c r="I6" s="26">
        <f>DSTDEV(Tabelle_alle_Kennzahlen[#All],'2'!$I$3,'2'!L5:N6)</f>
        <v>1.0111874208078351E-2</v>
      </c>
      <c r="J6" s="20">
        <f>COUNTIFS(Tabelle_alle_Kennzahlen[[#All],[fuel type]],"=petrol",Tabelle_alle_Kennzahlen[[#All],[characteristic]],"=density",Tabelle_alle_Kennzahlen[[#All],[viability]],"=yes")</f>
        <v>4</v>
      </c>
      <c r="L6" s="30" t="s">
        <v>142</v>
      </c>
      <c r="M6" s="30" t="s">
        <v>134</v>
      </c>
      <c r="N6" s="30" t="s">
        <v>154</v>
      </c>
    </row>
    <row r="7" spans="2:16384" x14ac:dyDescent="0.3">
      <c r="B7" s="83"/>
      <c r="C7" s="23"/>
      <c r="D7" s="18"/>
      <c r="E7" s="27"/>
      <c r="F7" s="20"/>
      <c r="G7" s="20"/>
      <c r="H7" s="23"/>
      <c r="I7" s="27"/>
      <c r="J7" s="20"/>
      <c r="L7" s="30" t="s">
        <v>126</v>
      </c>
      <c r="M7" s="30" t="s">
        <v>127</v>
      </c>
      <c r="N7" s="30" t="s">
        <v>133</v>
      </c>
    </row>
    <row r="8" spans="2:16384" x14ac:dyDescent="0.3">
      <c r="B8" s="83"/>
      <c r="C8" s="23" t="s">
        <v>136</v>
      </c>
      <c r="D8" s="18"/>
      <c r="E8" s="26">
        <f>AVERAGEIFS(Tabelle_alle_Kennzahlen[value (converted)],Tabelle_alle_Kennzahlen[fuel type],"petrol",Tabelle_alle_Kennzahlen[characteristic],"fuel supply emissions",Tabelle_alle_Kennzahlen[viability],"yes")</f>
        <v>0.65131589885284868</v>
      </c>
      <c r="F8" s="20">
        <f>COUNTIFS(Tabelle_alle_Kennzahlen[[#All],[fuel type]],"=petrol",Tabelle_alle_Kennzahlen[[#All],[characteristic]],"=fuel supply emissions",Tabelle_alle_Kennzahlen[[#All],[viability]],"=yes")</f>
        <v>11</v>
      </c>
      <c r="G8" s="20" t="s">
        <v>158</v>
      </c>
      <c r="H8" s="23"/>
      <c r="I8" s="26">
        <f>DSTDEV(Tabelle_alle_Kennzahlen[#All],'2'!$I$3,'2'!L7:N8)</f>
        <v>0.13494252327465067</v>
      </c>
      <c r="J8" s="20">
        <f>COUNTIFS(Tabelle_alle_Kennzahlen[[#All],[fuel type]],"=petrol",Tabelle_alle_Kennzahlen[[#All],[characteristic]],"=fuel supply emissions",Tabelle_alle_Kennzahlen[[#All],[viability]],"=yes")</f>
        <v>11</v>
      </c>
      <c r="L8" s="30" t="s">
        <v>142</v>
      </c>
      <c r="M8" s="30" t="s">
        <v>136</v>
      </c>
      <c r="N8" s="30" t="s">
        <v>154</v>
      </c>
    </row>
    <row r="9" spans="2:16384" x14ac:dyDescent="0.3">
      <c r="B9" s="83"/>
      <c r="C9" s="23"/>
      <c r="D9" s="18"/>
      <c r="E9" s="27"/>
      <c r="F9" s="20"/>
      <c r="G9" s="20"/>
      <c r="H9" s="23"/>
      <c r="I9" s="27"/>
      <c r="J9" s="20"/>
      <c r="L9" s="30" t="s">
        <v>126</v>
      </c>
      <c r="M9" s="30" t="s">
        <v>127</v>
      </c>
      <c r="N9" s="30" t="s">
        <v>133</v>
      </c>
    </row>
    <row r="10" spans="2:16384" x14ac:dyDescent="0.3">
      <c r="B10" s="83"/>
      <c r="C10" s="23" t="s">
        <v>137</v>
      </c>
      <c r="D10" s="18"/>
      <c r="E10" s="25">
        <f>AVERAGEIFS(Tabelle_alle_Kennzahlen[value (converted)],Tabelle_alle_Kennzahlen[fuel type],"petrol",Tabelle_alle_Kennzahlen[characteristic],"direct fuel emissions",Tabelle_alle_Kennzahlen[viability],"yes")</f>
        <v>7.2641767969751578E-5</v>
      </c>
      <c r="F10" s="20">
        <f>COUNTIFS(Tabelle_alle_Kennzahlen[[#All],[fuel type]],"=petrol",Tabelle_alle_Kennzahlen[[#All],[characteristic]],"=direct fuel emissions",Tabelle_alle_Kennzahlen[[#All],[viability]],"=yes")</f>
        <v>6</v>
      </c>
      <c r="G10" s="20" t="s">
        <v>4</v>
      </c>
      <c r="H10" s="23"/>
      <c r="I10" s="25">
        <f>DSTDEV(Tabelle_alle_Kennzahlen[#All],'2'!$I$3,'2'!L9:N10)</f>
        <v>5.5204610871808651E-7</v>
      </c>
      <c r="J10" s="20">
        <f>COUNTIFS(Tabelle_alle_Kennzahlen[[#All],[fuel type]],"=petrol",Tabelle_alle_Kennzahlen[[#All],[characteristic]],"=direct fuel emissions",Tabelle_alle_Kennzahlen[[#All],[viability]],"=yes")</f>
        <v>6</v>
      </c>
      <c r="L10" s="30" t="s">
        <v>142</v>
      </c>
      <c r="M10" s="30" t="s">
        <v>137</v>
      </c>
      <c r="N10" s="30" t="s">
        <v>154</v>
      </c>
    </row>
    <row r="12" spans="2:16384" x14ac:dyDescent="0.3">
      <c r="B12" s="83" t="s">
        <v>147</v>
      </c>
      <c r="C12" s="23"/>
      <c r="D12" s="18"/>
      <c r="E12" s="23" t="s">
        <v>182</v>
      </c>
      <c r="F12" s="20"/>
      <c r="G12" s="20"/>
      <c r="H12" s="23"/>
      <c r="I12" s="23" t="s">
        <v>182</v>
      </c>
      <c r="J12" s="20"/>
      <c r="L12" s="30" t="s">
        <v>126</v>
      </c>
      <c r="M12" s="30" t="s">
        <v>127</v>
      </c>
      <c r="N12" s="30" t="s">
        <v>133</v>
      </c>
    </row>
    <row r="13" spans="2:16384" x14ac:dyDescent="0.3">
      <c r="B13" s="83"/>
      <c r="C13" s="23" t="s">
        <v>168</v>
      </c>
      <c r="D13" s="18"/>
      <c r="E13" s="26">
        <f>AVERAGEIFS(Tabelle_alle_Kennzahlen[value (converted)],Tabelle_alle_Kennzahlen[fuel type],"diesel",Tabelle_alle_Kennzahlen[characteristic],"lower heating value",Tabelle_alle_Kennzahlen[viability],"yes")</f>
        <v>42.925555555555555</v>
      </c>
      <c r="F13" s="20">
        <f>COUNTIFS(Tabelle_alle_Kennzahlen[[#All],[fuel type]],"=diesel",Tabelle_alle_Kennzahlen[[#All],[characteristic]],"=lower heating value",Tabelle_alle_Kennzahlen[[#All],[viability]],"=yes")</f>
        <v>9</v>
      </c>
      <c r="G13" s="20" t="s">
        <v>14</v>
      </c>
      <c r="H13" s="23"/>
      <c r="I13" s="26">
        <f>DSTDEV(Tabelle_alle_Kennzahlen[#All],$I$12,'2'!L12:N13)</f>
        <v>0.67836404516879978</v>
      </c>
      <c r="J13" s="20">
        <f>COUNTIFS(Tabelle_alle_Kennzahlen[[#All],[fuel type]],"=diesel",Tabelle_alle_Kennzahlen[[#All],[characteristic]],"=lower heating value",Tabelle_alle_Kennzahlen[[#All],[viability]],"=yes")</f>
        <v>9</v>
      </c>
      <c r="L13" s="30" t="s">
        <v>147</v>
      </c>
      <c r="M13" s="30" t="s">
        <v>168</v>
      </c>
      <c r="N13" s="30" t="s">
        <v>154</v>
      </c>
    </row>
    <row r="14" spans="2:16384" x14ac:dyDescent="0.3">
      <c r="B14" s="83"/>
      <c r="C14" s="23"/>
      <c r="D14" s="18"/>
      <c r="E14" s="27"/>
      <c r="F14" s="20"/>
      <c r="G14" s="20"/>
      <c r="H14" s="23"/>
      <c r="I14" s="27"/>
      <c r="J14" s="20"/>
      <c r="L14" s="30" t="s">
        <v>126</v>
      </c>
      <c r="M14" s="30" t="s">
        <v>127</v>
      </c>
      <c r="N14" s="30" t="s">
        <v>133</v>
      </c>
    </row>
    <row r="15" spans="2:16384" x14ac:dyDescent="0.3">
      <c r="B15" s="83"/>
      <c r="C15" s="23" t="s">
        <v>134</v>
      </c>
      <c r="D15" s="18"/>
      <c r="E15" s="26">
        <f>AVERAGEIFS(Tabelle_alle_Kennzahlen[value (converted)],Tabelle_alle_Kennzahlen[fuel type],"diesel",Tabelle_alle_Kennzahlen[characteristic],"density",Tabelle_alle_Kennzahlen[viability],"yes")</f>
        <v>0.83699999999999997</v>
      </c>
      <c r="F15" s="20">
        <f>COUNTIFS(Tabelle_alle_Kennzahlen[[#All],[fuel type]],"=diesel",Tabelle_alle_Kennzahlen[[#All],[characteristic]],"=density",Tabelle_alle_Kennzahlen[[#All],[viability]],"=yes")</f>
        <v>5</v>
      </c>
      <c r="G15" s="20" t="s">
        <v>19</v>
      </c>
      <c r="H15" s="23"/>
      <c r="I15" s="26">
        <f>DSTDEV(Tabelle_alle_Kennzahlen[#All],'2'!$I$12,'2'!L14:N15)</f>
        <v>1.2687263955111321E-2</v>
      </c>
      <c r="J15" s="20">
        <f>COUNTIFS(Tabelle_alle_Kennzahlen[[#All],[fuel type]],"=diesel",Tabelle_alle_Kennzahlen[[#All],[characteristic]],"=density",Tabelle_alle_Kennzahlen[[#All],[viability]],"=yes")</f>
        <v>5</v>
      </c>
      <c r="L15" s="30" t="s">
        <v>147</v>
      </c>
      <c r="M15" s="30" t="s">
        <v>134</v>
      </c>
      <c r="N15" s="30" t="s">
        <v>154</v>
      </c>
    </row>
    <row r="16" spans="2:16384" x14ac:dyDescent="0.3">
      <c r="B16" s="83"/>
      <c r="C16" s="23"/>
      <c r="D16" s="18"/>
      <c r="E16" s="27"/>
      <c r="F16" s="20"/>
      <c r="G16" s="20"/>
      <c r="H16" s="23"/>
      <c r="I16" s="27"/>
      <c r="J16" s="20"/>
      <c r="L16" s="30" t="s">
        <v>126</v>
      </c>
      <c r="M16" s="30" t="s">
        <v>127</v>
      </c>
      <c r="N16" s="30" t="s">
        <v>133</v>
      </c>
    </row>
    <row r="17" spans="2:14" x14ac:dyDescent="0.3">
      <c r="B17" s="83"/>
      <c r="C17" s="23" t="s">
        <v>136</v>
      </c>
      <c r="D17" s="18"/>
      <c r="E17" s="26">
        <f>AVERAGEIFS(Tabelle_alle_Kennzahlen[value (converted)],Tabelle_alle_Kennzahlen[fuel type],"diesel",Tabelle_alle_Kennzahlen[characteristic],"fuel supply emissions",Tabelle_alle_Kennzahlen[viability],"yes")</f>
        <v>0.57210734416618825</v>
      </c>
      <c r="F17" s="20">
        <f>COUNTIFS(Tabelle_alle_Kennzahlen[[#All],[fuel type]],"=diesel",Tabelle_alle_Kennzahlen[[#All],[characteristic]],"=fuel supply emissions",Tabelle_alle_Kennzahlen[[#All],[viability]],"=yes")</f>
        <v>11</v>
      </c>
      <c r="G17" s="20" t="s">
        <v>158</v>
      </c>
      <c r="H17" s="23"/>
      <c r="I17" s="26">
        <f>DSTDEV(Tabelle_alle_Kennzahlen[#All],'2'!$I$12,'2'!L16:N17)</f>
        <v>0.10739366724715856</v>
      </c>
      <c r="J17" s="20">
        <f>COUNTIFS(Tabelle_alle_Kennzahlen[[#All],[fuel type]],"=diesel",Tabelle_alle_Kennzahlen[[#All],[characteristic]],"=fuel supply emissions",Tabelle_alle_Kennzahlen[[#All],[viability]],"=yes")</f>
        <v>11</v>
      </c>
      <c r="L17" s="30" t="s">
        <v>147</v>
      </c>
      <c r="M17" s="30" t="s">
        <v>136</v>
      </c>
      <c r="N17" s="30" t="s">
        <v>154</v>
      </c>
    </row>
    <row r="18" spans="2:14" x14ac:dyDescent="0.3">
      <c r="B18" s="83"/>
      <c r="C18" s="23"/>
      <c r="D18" s="18"/>
      <c r="E18" s="27"/>
      <c r="F18" s="20"/>
      <c r="G18" s="20"/>
      <c r="H18" s="23"/>
      <c r="I18" s="27"/>
      <c r="J18" s="20"/>
      <c r="L18" s="30" t="s">
        <v>126</v>
      </c>
      <c r="M18" s="30" t="s">
        <v>127</v>
      </c>
      <c r="N18" s="30" t="s">
        <v>133</v>
      </c>
    </row>
    <row r="19" spans="2:14" x14ac:dyDescent="0.3">
      <c r="B19" s="83"/>
      <c r="C19" s="23" t="s">
        <v>137</v>
      </c>
      <c r="D19" s="18"/>
      <c r="E19" s="25">
        <f>AVERAGEIFS(Tabelle_alle_Kennzahlen[value (converted)],Tabelle_alle_Kennzahlen[fuel type],"diesel",Tabelle_alle_Kennzahlen[characteristic],"direct fuel emissions",Tabelle_alle_Kennzahlen[viability],"yes")</f>
        <v>7.3965865513042856E-5</v>
      </c>
      <c r="F19" s="20">
        <f>COUNTIFS(Tabelle_alle_Kennzahlen[[#All],[fuel type]],"=diesel",Tabelle_alle_Kennzahlen[[#All],[characteristic]],"=direct fuel emissions",Tabelle_alle_Kennzahlen[[#All],[viability]],"=yes")</f>
        <v>4</v>
      </c>
      <c r="G19" s="20" t="s">
        <v>4</v>
      </c>
      <c r="H19" s="23"/>
      <c r="I19" s="25">
        <f>DSTDEV(Tabelle_alle_Kennzahlen[#All],'2'!$I$12,'2'!L18:N19)</f>
        <v>8.7202843188875314E-8</v>
      </c>
      <c r="J19" s="20">
        <f>COUNTIFS(Tabelle_alle_Kennzahlen[[#All],[fuel type]],"=diesel",Tabelle_alle_Kennzahlen[[#All],[characteristic]],"=direct fuel emissions",Tabelle_alle_Kennzahlen[[#All],[viability]],"=yes")</f>
        <v>4</v>
      </c>
      <c r="L19" s="30" t="s">
        <v>147</v>
      </c>
      <c r="M19" s="30" t="s">
        <v>137</v>
      </c>
      <c r="N19" s="30" t="s">
        <v>154</v>
      </c>
    </row>
    <row r="21" spans="2:14" x14ac:dyDescent="0.3">
      <c r="B21" s="83" t="s">
        <v>150</v>
      </c>
      <c r="C21" s="23"/>
      <c r="D21" s="18"/>
      <c r="E21" s="23" t="s">
        <v>182</v>
      </c>
      <c r="F21" s="20"/>
      <c r="G21" s="20"/>
      <c r="H21" s="23"/>
      <c r="I21" s="23" t="s">
        <v>182</v>
      </c>
      <c r="J21" s="20"/>
      <c r="L21" s="30" t="s">
        <v>126</v>
      </c>
      <c r="M21" s="30" t="s">
        <v>127</v>
      </c>
      <c r="N21" s="30" t="s">
        <v>133</v>
      </c>
    </row>
    <row r="22" spans="2:14" x14ac:dyDescent="0.3">
      <c r="B22" s="83"/>
      <c r="C22" s="23" t="s">
        <v>168</v>
      </c>
      <c r="D22" s="18"/>
      <c r="E22" s="26">
        <f>AVERAGEIFS(Tabelle_alle_Kennzahlen[value (converted)],Tabelle_alle_Kennzahlen[fuel type],"CNG",Tabelle_alle_Kennzahlen[characteristic],"lower heating value",Tabelle_alle_Kennzahlen[viability],"yes")</f>
        <v>47.286225977392448</v>
      </c>
      <c r="F22" s="20">
        <f>COUNTIFS(Tabelle_alle_Kennzahlen[[#All],[fuel type]],"=CNG",Tabelle_alle_Kennzahlen[[#All],[characteristic]],"=lower heating value",Tabelle_alle_Kennzahlen[[#All],[viability]],"=yes")</f>
        <v>11</v>
      </c>
      <c r="G22" s="20" t="s">
        <v>14</v>
      </c>
      <c r="H22" s="23"/>
      <c r="I22" s="26">
        <f>DSTDEV(Tabelle_alle_Kennzahlen[#All],'2'!$I$3,'2'!L21:N22)</f>
        <v>2.3516755843336723</v>
      </c>
      <c r="J22" s="20">
        <f>COUNTIFS(Tabelle_alle_Kennzahlen[[#All],[fuel type]],"=CNG",Tabelle_alle_Kennzahlen[[#All],[characteristic]],"=lower heating value",Tabelle_alle_Kennzahlen[[#All],[viability]],"=yes")</f>
        <v>11</v>
      </c>
      <c r="L22" s="30" t="s">
        <v>150</v>
      </c>
      <c r="M22" s="30" t="s">
        <v>168</v>
      </c>
      <c r="N22" s="30" t="s">
        <v>154</v>
      </c>
    </row>
    <row r="23" spans="2:14" x14ac:dyDescent="0.3">
      <c r="B23" s="83"/>
      <c r="C23" s="23"/>
      <c r="D23" s="18"/>
      <c r="E23" s="27"/>
      <c r="F23" s="20"/>
      <c r="G23" s="20"/>
      <c r="H23" s="23"/>
      <c r="I23" s="27"/>
      <c r="J23" s="20"/>
      <c r="L23" s="30" t="s">
        <v>126</v>
      </c>
      <c r="M23" s="30" t="s">
        <v>127</v>
      </c>
      <c r="N23" s="30" t="s">
        <v>133</v>
      </c>
    </row>
    <row r="24" spans="2:14" x14ac:dyDescent="0.3">
      <c r="B24" s="83"/>
      <c r="C24" s="23" t="s">
        <v>134</v>
      </c>
      <c r="D24" s="18"/>
      <c r="E24" s="37">
        <f>AVERAGEIFS(Tabelle_alle_Kennzahlen[value (converted)],Tabelle_alle_Kennzahlen[fuel type],"CNG",Tabelle_alle_Kennzahlen[characteristic],"density",Tabelle_alle_Kennzahlen[viability],"yes")</f>
        <v>7.7906421054881742E-4</v>
      </c>
      <c r="F24" s="20">
        <f>COUNTIFS(Tabelle_alle_Kennzahlen[[#All],[fuel type]],"=CNG",Tabelle_alle_Kennzahlen[[#All],[characteristic]],"=density",Tabelle_alle_Kennzahlen[[#All],[viability]],"=yes")</f>
        <v>2</v>
      </c>
      <c r="G24" s="20" t="s">
        <v>19</v>
      </c>
      <c r="H24" s="23"/>
      <c r="I24" s="37">
        <f>DSTDEV(Tabelle_alle_Kennzahlen[#All],'2'!$I$3,'2'!L23:N24)</f>
        <v>8.9186261858490142E-5</v>
      </c>
      <c r="J24" s="20">
        <f>COUNTIFS(Tabelle_alle_Kennzahlen[[#All],[fuel type]],"=CNG",Tabelle_alle_Kennzahlen[[#All],[characteristic]],"=density",Tabelle_alle_Kennzahlen[[#All],[viability]],"=yes")</f>
        <v>2</v>
      </c>
      <c r="L24" s="30" t="s">
        <v>150</v>
      </c>
      <c r="M24" s="30" t="s">
        <v>134</v>
      </c>
      <c r="N24" s="30" t="s">
        <v>154</v>
      </c>
    </row>
    <row r="25" spans="2:14" x14ac:dyDescent="0.3">
      <c r="B25" s="83"/>
      <c r="C25" s="23"/>
      <c r="D25" s="18"/>
      <c r="E25" s="27"/>
      <c r="F25" s="20"/>
      <c r="G25" s="20"/>
      <c r="H25" s="23"/>
      <c r="I25" s="27"/>
      <c r="J25" s="20"/>
      <c r="L25" s="30" t="s">
        <v>126</v>
      </c>
      <c r="M25" s="30" t="s">
        <v>127</v>
      </c>
      <c r="N25" s="30" t="s">
        <v>133</v>
      </c>
    </row>
    <row r="26" spans="2:14" x14ac:dyDescent="0.3">
      <c r="B26" s="83"/>
      <c r="C26" s="23" t="s">
        <v>136</v>
      </c>
      <c r="D26" s="18"/>
      <c r="E26" s="26">
        <f>AVERAGEIFS(Tabelle_alle_Kennzahlen[value (converted)],Tabelle_alle_Kennzahlen[fuel type],"CNG",Tabelle_alle_Kennzahlen[characteristic],"fuel supply emissions",Tabelle_alle_Kennzahlen[viability],"yes")</f>
        <v>0.77300036077107848</v>
      </c>
      <c r="F26" s="20">
        <f>COUNTIFS(Tabelle_alle_Kennzahlen[[#All],[fuel type]],"=CNG",Tabelle_alle_Kennzahlen[[#All],[characteristic]],"=fuel supply emissions",Tabelle_alle_Kennzahlen[[#All],[viability]],"=yes")</f>
        <v>20</v>
      </c>
      <c r="G26" s="20" t="s">
        <v>158</v>
      </c>
      <c r="H26" s="23"/>
      <c r="I26" s="26">
        <f>DSTDEV(Tabelle_alle_Kennzahlen[#All],'2'!$I$3,'2'!L25:M26)</f>
        <v>0.29184196522932992</v>
      </c>
      <c r="J26" s="20">
        <f>COUNTIFS(Tabelle_alle_Kennzahlen[[#All],[fuel type]],"=CNG",Tabelle_alle_Kennzahlen[[#All],[characteristic]],"=fuel supply emissions",Tabelle_alle_Kennzahlen[[#All],[viability]],"=yes")</f>
        <v>20</v>
      </c>
      <c r="L26" s="30" t="s">
        <v>150</v>
      </c>
      <c r="M26" s="30" t="s">
        <v>136</v>
      </c>
      <c r="N26" s="30" t="s">
        <v>154</v>
      </c>
    </row>
    <row r="27" spans="2:14" x14ac:dyDescent="0.3">
      <c r="B27" s="83"/>
      <c r="C27" s="23"/>
      <c r="D27" s="18"/>
      <c r="E27" s="27"/>
      <c r="F27" s="20"/>
      <c r="G27" s="20"/>
      <c r="H27" s="23"/>
      <c r="I27" s="27"/>
      <c r="J27" s="20"/>
      <c r="L27" s="30" t="s">
        <v>126</v>
      </c>
      <c r="M27" s="30" t="s">
        <v>127</v>
      </c>
      <c r="N27" s="30" t="s">
        <v>133</v>
      </c>
    </row>
    <row r="28" spans="2:14" x14ac:dyDescent="0.3">
      <c r="B28" s="83"/>
      <c r="C28" s="23" t="s">
        <v>137</v>
      </c>
      <c r="D28" s="18"/>
      <c r="E28" s="25">
        <f>AVERAGEIFS(Tabelle_alle_Kennzahlen[value (converted)],Tabelle_alle_Kennzahlen[fuel type],"CNG",Tabelle_alle_Kennzahlen[characteristic],"direct fuel emissions",Tabelle_alle_Kennzahlen[viability],"yes")</f>
        <v>5.6324000000000005E-5</v>
      </c>
      <c r="F28" s="20">
        <f>COUNTIFS(Tabelle_alle_Kennzahlen[[#All],[fuel type]],"=CNG",Tabelle_alle_Kennzahlen[[#All],[characteristic]],"=direct fuel emissions",Tabelle_alle_Kennzahlen[[#All],[viability]],"=yes")</f>
        <v>6</v>
      </c>
      <c r="G28" s="20" t="s">
        <v>4</v>
      </c>
      <c r="H28" s="23"/>
      <c r="I28" s="25">
        <f>DSTDEV(Tabelle_alle_Kennzahlen[#All],'2'!$I$3,'2'!L27:N28)</f>
        <v>1.0289101029730425E-6</v>
      </c>
      <c r="J28" s="20">
        <f>COUNTIFS(Tabelle_alle_Kennzahlen[[#All],[fuel type]],"=CNG",Tabelle_alle_Kennzahlen[[#All],[characteristic]],"=direct fuel emissions",Tabelle_alle_Kennzahlen[[#All],[viability]],"=yes")</f>
        <v>6</v>
      </c>
      <c r="L28" s="30" t="s">
        <v>150</v>
      </c>
      <c r="M28" s="30" t="s">
        <v>137</v>
      </c>
      <c r="N28" s="30" t="s">
        <v>154</v>
      </c>
    </row>
    <row r="30" spans="2:14" x14ac:dyDescent="0.3">
      <c r="B30" s="83" t="s">
        <v>151</v>
      </c>
      <c r="C30" s="23"/>
      <c r="D30" s="18"/>
      <c r="E30" s="23" t="s">
        <v>182</v>
      </c>
      <c r="F30" s="20"/>
      <c r="G30" s="20"/>
      <c r="H30" s="23"/>
      <c r="I30" s="23" t="s">
        <v>182</v>
      </c>
      <c r="J30" s="20"/>
      <c r="L30" s="30" t="s">
        <v>126</v>
      </c>
      <c r="M30" s="30" t="s">
        <v>127</v>
      </c>
      <c r="N30" s="30" t="s">
        <v>133</v>
      </c>
    </row>
    <row r="31" spans="2:14" x14ac:dyDescent="0.3">
      <c r="B31" s="83"/>
      <c r="C31" s="23" t="s">
        <v>168</v>
      </c>
      <c r="D31" s="18"/>
      <c r="E31" s="26">
        <f>AVERAGEIFS(Tabelle_alle_Kennzahlen[value (converted)],Tabelle_alle_Kennzahlen[fuel type],"LPG",Tabelle_alle_Kennzahlen[characteristic],"lower heating value",Tabelle_alle_Kennzahlen[viability],"yes")</f>
        <v>45.989800000000002</v>
      </c>
      <c r="F31" s="20">
        <f>COUNTIFS(Tabelle_alle_Kennzahlen[[#All],[fuel type]],"=LPG",Tabelle_alle_Kennzahlen[[#All],[characteristic]],"=lower heating value",Tabelle_alle_Kennzahlen[[#All],[viability]],"=yes")</f>
        <v>5</v>
      </c>
      <c r="G31" s="20" t="s">
        <v>14</v>
      </c>
      <c r="H31" s="23"/>
      <c r="I31" s="26">
        <f>DSTDEV(Tabelle_alle_Kennzahlen[#All],'2'!$I$3,'2'!L30:N31)</f>
        <v>0.1192065434445634</v>
      </c>
      <c r="J31" s="20">
        <f>COUNTIFS(Tabelle_alle_Kennzahlen[[#All],[fuel type]],"=LPG",Tabelle_alle_Kennzahlen[[#All],[characteristic]],"=lower heating value",Tabelle_alle_Kennzahlen[[#All],[viability]],"=yes")</f>
        <v>5</v>
      </c>
      <c r="L31" s="30" t="s">
        <v>151</v>
      </c>
      <c r="M31" s="30" t="s">
        <v>168</v>
      </c>
      <c r="N31" s="30" t="s">
        <v>154</v>
      </c>
    </row>
    <row r="32" spans="2:14" x14ac:dyDescent="0.3">
      <c r="B32" s="83"/>
      <c r="C32" s="23"/>
      <c r="D32" s="18"/>
      <c r="E32" s="27"/>
      <c r="F32" s="20"/>
      <c r="G32" s="20"/>
      <c r="H32" s="23"/>
      <c r="I32" s="27"/>
      <c r="J32" s="20"/>
      <c r="L32" s="30" t="s">
        <v>126</v>
      </c>
      <c r="M32" s="30" t="s">
        <v>127</v>
      </c>
      <c r="N32" s="30" t="s">
        <v>133</v>
      </c>
    </row>
    <row r="33" spans="2:14" x14ac:dyDescent="0.3">
      <c r="B33" s="83"/>
      <c r="C33" s="23" t="s">
        <v>134</v>
      </c>
      <c r="D33" s="18"/>
      <c r="E33" s="26">
        <f>AVERAGEIFS(Tabelle_alle_Kennzahlen[value (converted)],Tabelle_alle_Kennzahlen[fuel type],"LPG",Tabelle_alle_Kennzahlen[characteristic],"density",Tabelle_alle_Kennzahlen[viability],"yes")</f>
        <v>0.59</v>
      </c>
      <c r="F33" s="20">
        <f>COUNTIFS(Tabelle_alle_Kennzahlen[[#All],[fuel type]],"=LPG",Tabelle_alle_Kennzahlen[[#All],[characteristic]],"=density",Tabelle_alle_Kennzahlen[[#All],[viability]],"=yes")</f>
        <v>2</v>
      </c>
      <c r="G33" s="20" t="s">
        <v>19</v>
      </c>
      <c r="H33" s="23"/>
      <c r="I33" s="26">
        <f>DSTDEV(Tabelle_alle_Kennzahlen[#All],'2'!$I$3,'2'!L32:N33)</f>
        <v>1.4142135623730963E-2</v>
      </c>
      <c r="J33" s="20">
        <f>COUNTIFS(Tabelle_alle_Kennzahlen[[#All],[fuel type]],"=LPG",Tabelle_alle_Kennzahlen[[#All],[characteristic]],"=density",Tabelle_alle_Kennzahlen[[#All],[viability]],"=yes")</f>
        <v>2</v>
      </c>
      <c r="L33" s="30" t="s">
        <v>151</v>
      </c>
      <c r="M33" s="30" t="s">
        <v>134</v>
      </c>
      <c r="N33" s="30" t="s">
        <v>154</v>
      </c>
    </row>
    <row r="34" spans="2:14" x14ac:dyDescent="0.3">
      <c r="B34" s="83"/>
      <c r="C34" s="23"/>
      <c r="D34" s="18"/>
      <c r="E34" s="27"/>
      <c r="F34" s="20"/>
      <c r="G34" s="20"/>
      <c r="H34" s="23"/>
      <c r="I34" s="27"/>
      <c r="J34" s="20"/>
      <c r="L34" s="30" t="s">
        <v>126</v>
      </c>
      <c r="M34" s="30" t="s">
        <v>127</v>
      </c>
      <c r="N34" s="30" t="s">
        <v>133</v>
      </c>
    </row>
    <row r="35" spans="2:14" x14ac:dyDescent="0.3">
      <c r="B35" s="83"/>
      <c r="C35" s="23" t="s">
        <v>136</v>
      </c>
      <c r="D35" s="18"/>
      <c r="E35" s="26">
        <f>AVERAGEIFS(Tabelle_alle_Kennzahlen[value (converted)],Tabelle_alle_Kennzahlen[fuel type],"LPG",Tabelle_alle_Kennzahlen[characteristic],"fuel supply emissions",Tabelle_alle_Kennzahlen[viability],"yes")</f>
        <v>0.51023415924400795</v>
      </c>
      <c r="F35" s="20">
        <f>COUNTIFS(Tabelle_alle_Kennzahlen[[#All],[fuel type]],"=LPG",Tabelle_alle_Kennzahlen[[#All],[characteristic]],"=fuel supply emissions",Tabelle_alle_Kennzahlen[[#All],[viability]],"=yes")</f>
        <v>2</v>
      </c>
      <c r="G35" s="20" t="s">
        <v>158</v>
      </c>
      <c r="H35" s="23"/>
      <c r="I35" s="26">
        <f>DSTDEV(Tabelle_alle_Kennzahlen[#All],'2'!$I$3,'2'!L34:N35)</f>
        <v>0.20126487686230016</v>
      </c>
      <c r="J35" s="20">
        <f>COUNTIFS(Tabelle_alle_Kennzahlen[[#All],[fuel type]],"=LPG",Tabelle_alle_Kennzahlen[[#All],[characteristic]],"=fuel supply emissions",Tabelle_alle_Kennzahlen[[#All],[viability]],"=yes")</f>
        <v>2</v>
      </c>
      <c r="L35" s="30" t="s">
        <v>151</v>
      </c>
      <c r="M35" s="30" t="s">
        <v>136</v>
      </c>
      <c r="N35" s="30" t="s">
        <v>154</v>
      </c>
    </row>
    <row r="36" spans="2:14" x14ac:dyDescent="0.3">
      <c r="B36" s="83"/>
      <c r="C36" s="23"/>
      <c r="D36" s="18"/>
      <c r="E36" s="27"/>
      <c r="F36" s="20"/>
      <c r="G36" s="20"/>
      <c r="H36" s="23"/>
      <c r="I36" s="27"/>
      <c r="J36" s="20"/>
      <c r="L36" s="30" t="s">
        <v>126</v>
      </c>
      <c r="M36" s="30" t="s">
        <v>127</v>
      </c>
      <c r="N36" s="30" t="s">
        <v>133</v>
      </c>
    </row>
    <row r="37" spans="2:14" x14ac:dyDescent="0.3">
      <c r="B37" s="83"/>
      <c r="C37" s="23" t="s">
        <v>137</v>
      </c>
      <c r="D37" s="18"/>
      <c r="E37" s="25">
        <f>AVERAGEIFS(Tabelle_alle_Kennzahlen[value (converted)],Tabelle_alle_Kennzahlen[fuel type],"LPG",Tabelle_alle_Kennzahlen[characteristic],"direct fuel emissions",Tabelle_alle_Kennzahlen[viability],"yes")</f>
        <v>6.2475272183124469E-5</v>
      </c>
      <c r="F37" s="20">
        <f>COUNTIFS(Tabelle_alle_Kennzahlen[[#All],[fuel type]],"=LPG",Tabelle_alle_Kennzahlen[[#All],[characteristic]],"=direct fuel emissions",Tabelle_alle_Kennzahlen[[#All],[viability]],"=yes")</f>
        <v>3</v>
      </c>
      <c r="G37" s="20" t="s">
        <v>4</v>
      </c>
      <c r="H37" s="23"/>
      <c r="I37" s="25">
        <f>DSTDEV(Tabelle_alle_Kennzahlen[#All],'2'!$I$3,'2'!L36:N37)</f>
        <v>4.8329678865675255E-6</v>
      </c>
      <c r="J37" s="20">
        <f>COUNTIFS(Tabelle_alle_Kennzahlen[[#All],[fuel type]],"=LPG",Tabelle_alle_Kennzahlen[[#All],[characteristic]],"=direct fuel emissions",Tabelle_alle_Kennzahlen[[#All],[viability]],"=yes")</f>
        <v>3</v>
      </c>
      <c r="L37" s="30" t="s">
        <v>151</v>
      </c>
      <c r="M37" s="30" t="s">
        <v>137</v>
      </c>
      <c r="N37" s="30" t="s">
        <v>154</v>
      </c>
    </row>
    <row r="39" spans="2:14" x14ac:dyDescent="0.3">
      <c r="B39" s="83" t="s">
        <v>30</v>
      </c>
      <c r="C39" s="23"/>
      <c r="D39" s="18"/>
      <c r="E39" s="23" t="s">
        <v>182</v>
      </c>
      <c r="F39" s="20"/>
      <c r="G39" s="20"/>
      <c r="H39" s="23"/>
      <c r="I39" s="23" t="s">
        <v>182</v>
      </c>
      <c r="J39" s="20"/>
      <c r="L39" s="30" t="s">
        <v>126</v>
      </c>
      <c r="M39" s="30" t="s">
        <v>127</v>
      </c>
      <c r="N39" s="30" t="s">
        <v>133</v>
      </c>
    </row>
    <row r="40" spans="2:14" x14ac:dyDescent="0.3">
      <c r="B40" s="83"/>
      <c r="C40" s="23" t="s">
        <v>168</v>
      </c>
      <c r="D40" s="18"/>
      <c r="E40" s="26">
        <f>AVERAGEIFS(Tabelle_alle_Kennzahlen[value (converted)],Tabelle_alle_Kennzahlen[fuel type],"Bioethanol",Tabelle_alle_Kennzahlen[characteristic],"lower heating value",Tabelle_alle_Kennzahlen[viability],"yes")</f>
        <v>26.787500000000001</v>
      </c>
      <c r="F40" s="20">
        <f>COUNTIFS(Tabelle_alle_Kennzahlen[[#All],[fuel type]],"=LPG",Tabelle_alle_Kennzahlen[[#All],[characteristic]],"=lower heating value",Tabelle_alle_Kennzahlen[[#All],[viability]],"=yes")</f>
        <v>5</v>
      </c>
      <c r="G40" s="20" t="s">
        <v>14</v>
      </c>
      <c r="H40" s="23"/>
      <c r="I40" s="26">
        <f>DSTDEV(Tabelle_alle_Kennzahlen[#All],'2'!$I$3,'2'!L39:N40)</f>
        <v>0.18314065632731605</v>
      </c>
      <c r="J40" s="20">
        <f>COUNTIFS(Tabelle_alle_Kennzahlen[[#All],[fuel type]],"=LPG",Tabelle_alle_Kennzahlen[[#All],[characteristic]],"=lower heating value",Tabelle_alle_Kennzahlen[[#All],[viability]],"=yes")</f>
        <v>5</v>
      </c>
      <c r="L40" s="30" t="s">
        <v>30</v>
      </c>
      <c r="M40" s="30" t="s">
        <v>168</v>
      </c>
      <c r="N40" s="30" t="s">
        <v>154</v>
      </c>
    </row>
    <row r="41" spans="2:14" x14ac:dyDescent="0.3">
      <c r="B41" s="83"/>
      <c r="C41" s="23"/>
      <c r="D41" s="18"/>
      <c r="E41" s="27"/>
      <c r="F41" s="20"/>
      <c r="G41" s="20"/>
      <c r="H41" s="23"/>
      <c r="I41" s="27"/>
      <c r="J41" s="20"/>
      <c r="L41" s="30" t="s">
        <v>126</v>
      </c>
      <c r="M41" s="30" t="s">
        <v>127</v>
      </c>
      <c r="N41" s="30" t="s">
        <v>133</v>
      </c>
    </row>
    <row r="42" spans="2:14" x14ac:dyDescent="0.3">
      <c r="B42" s="83"/>
      <c r="C42" s="23" t="s">
        <v>134</v>
      </c>
      <c r="D42" s="18"/>
      <c r="E42" s="26">
        <f>AVERAGEIFS(Tabelle_alle_Kennzahlen[value (converted)],Tabelle_alle_Kennzahlen[fuel type],"Bioethanol",Tabelle_alle_Kennzahlen[characteristic],"density",Tabelle_alle_Kennzahlen[viability],"yes")</f>
        <v>0.78600000000000003</v>
      </c>
      <c r="F42" s="20">
        <f>COUNTIFS(Tabelle_alle_Kennzahlen[[#All],[fuel type]],"=LPG",Tabelle_alle_Kennzahlen[[#All],[characteristic]],"=density",Tabelle_alle_Kennzahlen[[#All],[viability]],"=yes")</f>
        <v>2</v>
      </c>
      <c r="G42" s="20" t="s">
        <v>19</v>
      </c>
      <c r="H42" s="23"/>
      <c r="I42" s="26">
        <f>DSTDEV(Tabelle_alle_Kennzahlen[#All],'2'!$I$3,'2'!L41:N42)</f>
        <v>5.6568542494923853E-3</v>
      </c>
      <c r="J42" s="20">
        <f>COUNTIFS(Tabelle_alle_Kennzahlen[[#All],[fuel type]],"=LPG",Tabelle_alle_Kennzahlen[[#All],[characteristic]],"=density",Tabelle_alle_Kennzahlen[[#All],[viability]],"=yes")</f>
        <v>2</v>
      </c>
      <c r="L42" s="30" t="s">
        <v>30</v>
      </c>
      <c r="M42" s="30" t="s">
        <v>134</v>
      </c>
      <c r="N42" s="30" t="s">
        <v>154</v>
      </c>
    </row>
    <row r="43" spans="2:14" x14ac:dyDescent="0.3">
      <c r="B43" s="83"/>
      <c r="C43" s="23"/>
      <c r="D43" s="18"/>
      <c r="E43" s="27"/>
      <c r="F43" s="20"/>
      <c r="G43" s="20"/>
      <c r="H43" s="23"/>
      <c r="I43" s="27"/>
      <c r="J43" s="20"/>
      <c r="L43" s="30" t="s">
        <v>126</v>
      </c>
      <c r="M43" s="30" t="s">
        <v>127</v>
      </c>
      <c r="N43" s="30" t="s">
        <v>133</v>
      </c>
    </row>
    <row r="44" spans="2:14" x14ac:dyDescent="0.3">
      <c r="B44" s="83"/>
      <c r="C44" s="23" t="s">
        <v>136</v>
      </c>
      <c r="D44" s="18"/>
      <c r="E44" s="26">
        <f>AVERAGEIFS(Tabelle_alle_Kennzahlen[value (converted)],Tabelle_alle_Kennzahlen[fuel type],"Bioethanol",Tabelle_alle_Kennzahlen[characteristic],"fuel supply emissions",Tabelle_alle_Kennzahlen[viability],"yes")</f>
        <v>1.2509812438194443</v>
      </c>
      <c r="F44" s="20">
        <f>COUNTIFS(Tabelle_alle_Kennzahlen[[#All],[fuel type]],"=LPG",Tabelle_alle_Kennzahlen[[#All],[characteristic]],"=fuel supply emissions",Tabelle_alle_Kennzahlen[[#All],[viability]],"=yes")</f>
        <v>2</v>
      </c>
      <c r="G44" s="20" t="s">
        <v>158</v>
      </c>
      <c r="H44" s="23"/>
      <c r="I44" s="26">
        <f>DSTDEV(Tabelle_alle_Kennzahlen[#All],'2'!$I$3,'2'!L43:N44)</f>
        <v>0.57136914818305196</v>
      </c>
      <c r="J44" s="20">
        <f>COUNTIFS(Tabelle_alle_Kennzahlen[[#All],[fuel type]],"=LPG",Tabelle_alle_Kennzahlen[[#All],[characteristic]],"=fuel supply emissions",Tabelle_alle_Kennzahlen[[#All],[viability]],"=yes")</f>
        <v>2</v>
      </c>
      <c r="L44" s="30" t="s">
        <v>30</v>
      </c>
      <c r="M44" s="30" t="s">
        <v>136</v>
      </c>
      <c r="N44" s="30" t="s">
        <v>154</v>
      </c>
    </row>
    <row r="45" spans="2:14" x14ac:dyDescent="0.3">
      <c r="B45" s="83"/>
      <c r="C45" s="23"/>
      <c r="D45" s="18"/>
      <c r="E45" s="27"/>
      <c r="F45" s="20"/>
      <c r="G45" s="20"/>
      <c r="H45" s="23"/>
      <c r="I45" s="27"/>
      <c r="J45" s="20"/>
      <c r="L45" s="30" t="s">
        <v>126</v>
      </c>
      <c r="M45" s="30" t="s">
        <v>127</v>
      </c>
      <c r="N45" s="30" t="s">
        <v>133</v>
      </c>
    </row>
    <row r="46" spans="2:14" x14ac:dyDescent="0.3">
      <c r="B46" s="83"/>
      <c r="C46" s="23" t="s">
        <v>137</v>
      </c>
      <c r="D46" s="18"/>
      <c r="E46" s="25">
        <f>AVERAGEIFS(Tabelle_alle_Kennzahlen[value (converted)],Tabelle_alle_Kennzahlen[fuel type],"Bioethanol",Tabelle_alle_Kennzahlen[characteristic],"direct fuel emissions",Tabelle_alle_Kennzahlen[viability],"yes")</f>
        <v>7.1606999999999994E-5</v>
      </c>
      <c r="F46" s="20">
        <f>COUNTIFS(Tabelle_alle_Kennzahlen[[#All],[fuel type]],"=LPG",Tabelle_alle_Kennzahlen[[#All],[characteristic]],"=direct fuel emissions",Tabelle_alle_Kennzahlen[[#All],[viability]],"=yes")</f>
        <v>3</v>
      </c>
      <c r="G46" s="20" t="s">
        <v>4</v>
      </c>
      <c r="H46" s="23"/>
      <c r="I46" s="25" t="e">
        <f>DSTDEV(Tabelle_alle_Kennzahlen[#All],'2'!$I$3,'2'!L45:N46)</f>
        <v>#DIV/0!</v>
      </c>
      <c r="J46" s="20">
        <f>COUNTIFS(Tabelle_alle_Kennzahlen[[#All],[fuel type]],"=LPG",Tabelle_alle_Kennzahlen[[#All],[characteristic]],"=direct fuel emissions",Tabelle_alle_Kennzahlen[[#All],[viability]],"=yes")</f>
        <v>3</v>
      </c>
      <c r="L46" s="30" t="s">
        <v>30</v>
      </c>
      <c r="M46" s="30" t="s">
        <v>137</v>
      </c>
      <c r="N46" s="30" t="s">
        <v>154</v>
      </c>
    </row>
    <row r="48" spans="2:14" x14ac:dyDescent="0.3">
      <c r="B48" s="83" t="s">
        <v>1</v>
      </c>
      <c r="C48" s="23"/>
      <c r="D48" s="18"/>
      <c r="E48" s="23" t="s">
        <v>182</v>
      </c>
      <c r="F48" s="20"/>
      <c r="G48" s="20"/>
      <c r="H48" s="23"/>
      <c r="I48" s="23" t="s">
        <v>182</v>
      </c>
      <c r="J48" s="20"/>
      <c r="L48" s="30" t="s">
        <v>126</v>
      </c>
      <c r="M48" s="30" t="s">
        <v>127</v>
      </c>
      <c r="N48" s="30" t="s">
        <v>133</v>
      </c>
    </row>
    <row r="49" spans="2:14" x14ac:dyDescent="0.3">
      <c r="B49" s="83"/>
      <c r="C49" s="23" t="s">
        <v>168</v>
      </c>
      <c r="D49" s="18"/>
      <c r="E49" s="26">
        <f>AVERAGEIFS(Tabelle_alle_Kennzahlen[value (converted)],Tabelle_alle_Kennzahlen[fuel type],"Biodiesel",Tabelle_alle_Kennzahlen[characteristic],"lower heating value",Tabelle_alle_Kennzahlen[viability],"yes")</f>
        <v>37.241999999999997</v>
      </c>
      <c r="F49" s="20">
        <f>COUNTIFS(Tabelle_alle_Kennzahlen[[#All],[fuel type]],"=Biodiesel",Tabelle_alle_Kennzahlen[[#All],[characteristic]],"=lower heating value",Tabelle_alle_Kennzahlen[[#All],[viability]],"=yes")</f>
        <v>2</v>
      </c>
      <c r="G49" s="20" t="s">
        <v>14</v>
      </c>
      <c r="H49" s="23"/>
      <c r="I49" s="26">
        <f>DSTDEV(Tabelle_alle_Kennzahlen[#All],'2'!$I$3,'2'!L48:N49)</f>
        <v>0</v>
      </c>
      <c r="J49" s="20">
        <f>COUNTIFS(Tabelle_alle_Kennzahlen[[#All],[fuel type]],"=Biodiesel",Tabelle_alle_Kennzahlen[[#All],[characteristic]],"=lower heating value",Tabelle_alle_Kennzahlen[[#All],[viability]],"=yes")</f>
        <v>2</v>
      </c>
      <c r="L49" s="30" t="s">
        <v>1</v>
      </c>
      <c r="M49" s="30" t="s">
        <v>168</v>
      </c>
      <c r="N49" s="30" t="s">
        <v>154</v>
      </c>
    </row>
    <row r="50" spans="2:14" x14ac:dyDescent="0.3">
      <c r="B50" s="83"/>
      <c r="C50" s="23"/>
      <c r="D50" s="18"/>
      <c r="E50" s="27"/>
      <c r="F50" s="20"/>
      <c r="G50" s="20"/>
      <c r="H50" s="23"/>
      <c r="I50" s="27"/>
      <c r="J50" s="20"/>
      <c r="L50" s="30" t="s">
        <v>126</v>
      </c>
      <c r="M50" s="30" t="s">
        <v>127</v>
      </c>
      <c r="N50" s="30" t="s">
        <v>133</v>
      </c>
    </row>
    <row r="51" spans="2:14" x14ac:dyDescent="0.3">
      <c r="B51" s="83"/>
      <c r="C51" s="23" t="s">
        <v>134</v>
      </c>
      <c r="D51" s="18"/>
      <c r="E51" s="26">
        <f>AVERAGEIFS(Tabelle_alle_Kennzahlen[value (converted)],Tabelle_alle_Kennzahlen[fuel type],"Biodiesel",Tabelle_alle_Kennzahlen[characteristic],"density",Tabelle_alle_Kennzahlen[viability],"yes")</f>
        <v>0.879</v>
      </c>
      <c r="F51" s="20">
        <f>COUNTIFS(Tabelle_alle_Kennzahlen[[#All],[fuel type]],"=Biodiesel",Tabelle_alle_Kennzahlen[[#All],[characteristic]],"=density",Tabelle_alle_Kennzahlen[[#All],[viability]],"=yes")</f>
        <v>2</v>
      </c>
      <c r="G51" s="20" t="s">
        <v>19</v>
      </c>
      <c r="H51" s="23"/>
      <c r="I51" s="26">
        <f>DSTDEV(Tabelle_alle_Kennzahlen[#All],'2'!$I$3,'2'!L50:N51)</f>
        <v>0</v>
      </c>
      <c r="J51" s="20">
        <f>COUNTIFS(Tabelle_alle_Kennzahlen[[#All],[fuel type]],"=Biodiesel",Tabelle_alle_Kennzahlen[[#All],[characteristic]],"=density",Tabelle_alle_Kennzahlen[[#All],[viability]],"=yes")</f>
        <v>2</v>
      </c>
      <c r="L51" s="30" t="s">
        <v>1</v>
      </c>
      <c r="M51" s="30" t="s">
        <v>134</v>
      </c>
      <c r="N51" s="30" t="s">
        <v>154</v>
      </c>
    </row>
    <row r="52" spans="2:14" x14ac:dyDescent="0.3">
      <c r="B52" s="83"/>
      <c r="C52" s="23"/>
      <c r="D52" s="18"/>
      <c r="E52" s="27"/>
      <c r="F52" s="20"/>
      <c r="G52" s="20"/>
      <c r="H52" s="23"/>
      <c r="I52" s="27"/>
      <c r="J52" s="20"/>
      <c r="L52" s="30" t="s">
        <v>126</v>
      </c>
      <c r="M52" s="30" t="s">
        <v>127</v>
      </c>
      <c r="N52" s="30" t="s">
        <v>133</v>
      </c>
    </row>
    <row r="53" spans="2:14" x14ac:dyDescent="0.3">
      <c r="B53" s="83"/>
      <c r="C53" s="23" t="s">
        <v>136</v>
      </c>
      <c r="D53" s="18"/>
      <c r="E53" s="26">
        <f>AVERAGEIFS(Tabelle_alle_Kennzahlen[value (converted)],Tabelle_alle_Kennzahlen[fuel type],"Biodiesel",Tabelle_alle_Kennzahlen[characteristic],"fuel supply emissions",Tabelle_alle_Kennzahlen[viability],"yes")</f>
        <v>1.97989507</v>
      </c>
      <c r="F53" s="20">
        <f>COUNTIFS(Tabelle_alle_Kennzahlen[[#All],[fuel type]],"=Biodiesel",Tabelle_alle_Kennzahlen[[#All],[characteristic]],"=fuel supply emissions",Tabelle_alle_Kennzahlen[[#All],[viability]],"=yes")</f>
        <v>10</v>
      </c>
      <c r="G53" s="20" t="s">
        <v>158</v>
      </c>
      <c r="H53" s="23"/>
      <c r="I53" s="26">
        <f>DSTDEV(Tabelle_alle_Kennzahlen[#All],'2'!$I$3,'2'!L52:N53)</f>
        <v>0.36842818316401632</v>
      </c>
      <c r="J53" s="20">
        <f>COUNTIFS(Tabelle_alle_Kennzahlen[[#All],[fuel type]],"=Biodiesel",Tabelle_alle_Kennzahlen[[#All],[characteristic]],"=fuel supply emissions",Tabelle_alle_Kennzahlen[[#All],[viability]],"=yes")</f>
        <v>10</v>
      </c>
      <c r="L53" s="30" t="s">
        <v>1</v>
      </c>
      <c r="M53" s="30" t="s">
        <v>136</v>
      </c>
      <c r="N53" s="30" t="s">
        <v>154</v>
      </c>
    </row>
    <row r="54" spans="2:14" x14ac:dyDescent="0.3">
      <c r="B54" s="83"/>
      <c r="C54" s="23"/>
      <c r="D54" s="18"/>
      <c r="E54" s="27"/>
      <c r="F54" s="20"/>
      <c r="G54" s="20"/>
      <c r="H54" s="23"/>
      <c r="I54" s="27"/>
      <c r="J54" s="20"/>
      <c r="L54" s="30" t="s">
        <v>126</v>
      </c>
      <c r="M54" s="30" t="s">
        <v>127</v>
      </c>
      <c r="N54" s="30" t="s">
        <v>133</v>
      </c>
    </row>
    <row r="55" spans="2:14" x14ac:dyDescent="0.3">
      <c r="B55" s="83"/>
      <c r="C55" s="23" t="s">
        <v>137</v>
      </c>
      <c r="D55" s="18"/>
      <c r="E55" s="25">
        <f>AVERAGEIFS(Tabelle_alle_Kennzahlen[value (converted)],Tabelle_alle_Kennzahlen[fuel type],"Biodiesel",Tabelle_alle_Kennzahlen[characteristic],"direct fuel emissions",Tabelle_alle_Kennzahlen[viability],"yes")</f>
        <v>7.08E-5</v>
      </c>
      <c r="F55" s="20">
        <f>COUNTIFS(Tabelle_alle_Kennzahlen[[#All],[fuel type]],"=Biodiesel",Tabelle_alle_Kennzahlen[[#All],[characteristic]],"=direct fuel emissions",Tabelle_alle_Kennzahlen[[#All],[viability]],"=yes")</f>
        <v>1</v>
      </c>
      <c r="G55" s="20" t="s">
        <v>4</v>
      </c>
      <c r="H55" s="23"/>
      <c r="I55" s="25" t="e">
        <f>DSTDEV(Tabelle_alle_Kennzahlen[#All],'2'!$I$3,'2'!L54:N55)</f>
        <v>#DIV/0!</v>
      </c>
      <c r="J55" s="20">
        <f>COUNTIFS(Tabelle_alle_Kennzahlen[[#All],[fuel type]],"=Biodiesel",Tabelle_alle_Kennzahlen[[#All],[characteristic]],"=direct fuel emissions",Tabelle_alle_Kennzahlen[[#All],[viability]],"=yes")</f>
        <v>1</v>
      </c>
      <c r="L55" s="30" t="s">
        <v>1</v>
      </c>
      <c r="M55" s="30" t="s">
        <v>137</v>
      </c>
      <c r="N55" s="30" t="s">
        <v>154</v>
      </c>
    </row>
    <row r="57" spans="2:14" x14ac:dyDescent="0.3">
      <c r="B57" s="80" t="s">
        <v>152</v>
      </c>
      <c r="C57" s="23"/>
      <c r="D57" s="18"/>
      <c r="E57" s="23" t="s">
        <v>182</v>
      </c>
      <c r="F57" s="20"/>
      <c r="G57" s="20"/>
      <c r="H57" s="23"/>
      <c r="I57" s="23" t="s">
        <v>182</v>
      </c>
      <c r="J57" s="20"/>
      <c r="L57" s="30" t="s">
        <v>126</v>
      </c>
      <c r="M57" s="30" t="s">
        <v>127</v>
      </c>
      <c r="N57" s="30" t="s">
        <v>133</v>
      </c>
    </row>
    <row r="58" spans="2:14" x14ac:dyDescent="0.3">
      <c r="B58" s="81"/>
      <c r="C58" s="23" t="s">
        <v>168</v>
      </c>
      <c r="D58" s="18"/>
      <c r="E58" s="26">
        <f>AVERAGEIFS(Tabelle_alle_Kennzahlen[value (converted)],Tabelle_alle_Kennzahlen[fuel type],"hydrogen",Tabelle_alle_Kennzahlen[characteristic],"lower heating value",Tabelle_alle_Kennzahlen[viability],"yes")</f>
        <v>120.3</v>
      </c>
      <c r="F58" s="20">
        <f>COUNTIFS(Tabelle_alle_Kennzahlen[[#All],[fuel type]],"=hydrogen",Tabelle_alle_Kennzahlen[[#All],[characteristic]],"=lower heating value",Tabelle_alle_Kennzahlen[[#All],[viability]],"=yes")</f>
        <v>3</v>
      </c>
      <c r="G58" s="20" t="s">
        <v>14</v>
      </c>
      <c r="H58" s="23"/>
      <c r="I58" s="26">
        <f>DSTDEV(Tabelle_alle_Kennzahlen[#All],'2'!$I$3,'2'!L57:N58)</f>
        <v>0.60654760736482827</v>
      </c>
      <c r="J58" s="20">
        <f>COUNTIFS(Tabelle_alle_Kennzahlen[[#All],[fuel type]],"=hydrogen",Tabelle_alle_Kennzahlen[[#All],[characteristic]],"=lower heating value",Tabelle_alle_Kennzahlen[[#All],[viability]],"=yes")</f>
        <v>3</v>
      </c>
      <c r="L58" s="30" t="s">
        <v>152</v>
      </c>
      <c r="M58" s="30" t="s">
        <v>168</v>
      </c>
      <c r="N58" s="30" t="s">
        <v>154</v>
      </c>
    </row>
    <row r="59" spans="2:14" x14ac:dyDescent="0.3">
      <c r="B59" s="81"/>
      <c r="C59" s="23"/>
      <c r="D59" s="18"/>
      <c r="E59" s="27"/>
      <c r="F59" s="20"/>
      <c r="G59" s="20"/>
      <c r="H59" s="23"/>
      <c r="I59" s="27"/>
      <c r="J59" s="20"/>
      <c r="L59" s="30" t="s">
        <v>126</v>
      </c>
      <c r="M59" s="30" t="s">
        <v>127</v>
      </c>
      <c r="N59" s="30" t="s">
        <v>133</v>
      </c>
    </row>
    <row r="60" spans="2:14" x14ac:dyDescent="0.3">
      <c r="B60" s="81"/>
      <c r="C60" s="23" t="s">
        <v>134</v>
      </c>
      <c r="D60" s="18"/>
      <c r="E60" s="26" t="e">
        <f>AVERAGEIFS(Tabelle_alle_Kennzahlen[value (converted)],Tabelle_alle_Kennzahlen[fuel type],"hydrogen",Tabelle_alle_Kennzahlen[characteristic],"density",Tabelle_alle_Kennzahlen[viability],"yes")</f>
        <v>#DIV/0!</v>
      </c>
      <c r="F60" s="20">
        <f>COUNTIFS(Tabelle_alle_Kennzahlen[[#All],[fuel type]],"=hydrogen",Tabelle_alle_Kennzahlen[[#All],[characteristic]],"=density",Tabelle_alle_Kennzahlen[[#All],[viability]],"=yes")</f>
        <v>0</v>
      </c>
      <c r="G60" s="20" t="s">
        <v>19</v>
      </c>
      <c r="H60" s="23"/>
      <c r="I60" s="26" t="e">
        <f>DSTDEV(Tabelle_alle_Kennzahlen[#All],'2'!$I$3,'2'!L59:N60)</f>
        <v>#DIV/0!</v>
      </c>
      <c r="J60" s="20">
        <f>COUNTIFS(Tabelle_alle_Kennzahlen[[#All],[fuel type]],"=hydrogen",Tabelle_alle_Kennzahlen[[#All],[characteristic]],"=density",Tabelle_alle_Kennzahlen[[#All],[viability]],"=yes")</f>
        <v>0</v>
      </c>
      <c r="L60" s="30" t="s">
        <v>152</v>
      </c>
      <c r="M60" s="30" t="s">
        <v>134</v>
      </c>
      <c r="N60" s="30" t="s">
        <v>154</v>
      </c>
    </row>
    <row r="61" spans="2:14" x14ac:dyDescent="0.3">
      <c r="B61" s="81"/>
      <c r="C61" s="23"/>
      <c r="D61" s="18"/>
      <c r="E61" s="27"/>
      <c r="F61" s="20"/>
      <c r="G61" s="20"/>
      <c r="H61" s="23"/>
      <c r="I61" s="27"/>
      <c r="J61" s="20"/>
      <c r="L61" s="30" t="s">
        <v>126</v>
      </c>
      <c r="M61" s="30" t="s">
        <v>127</v>
      </c>
      <c r="N61" s="30" t="s">
        <v>133</v>
      </c>
    </row>
    <row r="62" spans="2:14" x14ac:dyDescent="0.3">
      <c r="B62" s="81"/>
      <c r="C62" s="23" t="s">
        <v>136</v>
      </c>
      <c r="D62" s="18"/>
      <c r="E62" s="26">
        <f>AVERAGEIFS(Tabelle_alle_Kennzahlen[value (converted)],Tabelle_alle_Kennzahlen[fuel type],"hydrogen",Tabelle_alle_Kennzahlen[characteristic],"fuel supply emissions",Tabelle_alle_Kennzahlen[viability],"yes")</f>
        <v>11.477986547429516</v>
      </c>
      <c r="F62" s="20">
        <f>COUNTIFS(Tabelle_alle_Kennzahlen[[#All],[fuel type]],"=hydrogen",Tabelle_alle_Kennzahlen[[#All],[characteristic]],"=fuel supply emissions",Tabelle_alle_Kennzahlen[[#All],[viability]],"=yes")</f>
        <v>67</v>
      </c>
      <c r="G62" s="20" t="s">
        <v>158</v>
      </c>
      <c r="H62" s="23"/>
      <c r="I62" s="26">
        <f>DSTDEV(Tabelle_alle_Kennzahlen[#All],'2'!$I$3,'2'!L61:N62)</f>
        <v>10.287350708174953</v>
      </c>
      <c r="J62" s="20">
        <f>COUNTIFS(Tabelle_alle_Kennzahlen[[#All],[fuel type]],"=hydrogen",Tabelle_alle_Kennzahlen[[#All],[characteristic]],"=fuel supply emissions",Tabelle_alle_Kennzahlen[[#All],[viability]],"=yes")</f>
        <v>67</v>
      </c>
      <c r="L62" s="30" t="s">
        <v>152</v>
      </c>
      <c r="M62" s="30" t="s">
        <v>136</v>
      </c>
      <c r="N62" s="30" t="s">
        <v>154</v>
      </c>
    </row>
    <row r="63" spans="2:14" x14ac:dyDescent="0.3">
      <c r="B63" s="81"/>
      <c r="C63" s="23"/>
      <c r="D63" s="18"/>
      <c r="E63" s="27"/>
      <c r="F63" s="20"/>
      <c r="G63" s="20"/>
      <c r="H63" s="23"/>
      <c r="I63" s="27"/>
      <c r="J63" s="20"/>
      <c r="L63" s="30" t="s">
        <v>126</v>
      </c>
      <c r="M63" s="30" t="s">
        <v>127</v>
      </c>
      <c r="N63" s="30" t="s">
        <v>133</v>
      </c>
    </row>
    <row r="64" spans="2:14" x14ac:dyDescent="0.3">
      <c r="B64" s="82"/>
      <c r="C64" s="23" t="s">
        <v>137</v>
      </c>
      <c r="D64" s="18"/>
      <c r="E64" s="25">
        <f>AVERAGEIFS(Tabelle_alle_Kennzahlen[value (converted)],Tabelle_alle_Kennzahlen[fuel type],"hydrogen",Tabelle_alle_Kennzahlen[characteristic],"direct fuel emissions",Tabelle_alle_Kennzahlen[viability],"yes")</f>
        <v>0</v>
      </c>
      <c r="F64" s="20">
        <f>COUNTIFS(Tabelle_alle_Kennzahlen[[#All],[fuel type]],"=hydrogen",Tabelle_alle_Kennzahlen[[#All],[characteristic]],"=direct fuel emissions",Tabelle_alle_Kennzahlen[[#All],[viability]],"=yes")</f>
        <v>1</v>
      </c>
      <c r="G64" s="20" t="s">
        <v>4</v>
      </c>
      <c r="H64" s="23"/>
      <c r="I64" s="25" t="e">
        <f>DSTDEV(Tabelle_alle_Kennzahlen[#All],'2'!$I$3,'2'!L63:N64)</f>
        <v>#DIV/0!</v>
      </c>
      <c r="J64" s="20">
        <f>COUNTIFS(Tabelle_alle_Kennzahlen[[#All],[fuel type]],"=hydrogen",Tabelle_alle_Kennzahlen[[#All],[characteristic]],"=direct fuel emissions",Tabelle_alle_Kennzahlen[[#All],[viability]],"=yes")</f>
        <v>1</v>
      </c>
      <c r="L64" s="30" t="s">
        <v>152</v>
      </c>
      <c r="M64" s="30" t="s">
        <v>137</v>
      </c>
      <c r="N64" s="30" t="s">
        <v>154</v>
      </c>
    </row>
    <row r="66" spans="2:14" x14ac:dyDescent="0.3">
      <c r="B66" s="80" t="s">
        <v>87</v>
      </c>
      <c r="C66" s="23"/>
      <c r="D66" s="18"/>
      <c r="E66" s="23" t="s">
        <v>182</v>
      </c>
      <c r="F66" s="20"/>
      <c r="G66" s="20"/>
      <c r="H66" s="23"/>
      <c r="I66" s="23" t="s">
        <v>182</v>
      </c>
      <c r="J66" s="20"/>
      <c r="L66" s="30" t="s">
        <v>126</v>
      </c>
      <c r="M66" s="30" t="s">
        <v>127</v>
      </c>
      <c r="N66" s="30" t="s">
        <v>133</v>
      </c>
    </row>
    <row r="67" spans="2:14" x14ac:dyDescent="0.3">
      <c r="B67" s="81"/>
      <c r="C67" s="23" t="s">
        <v>168</v>
      </c>
      <c r="D67" s="18"/>
      <c r="E67" s="26">
        <f>AVERAGEIFS(Tabelle_alle_Kennzahlen[value (converted)],Tabelle_alle_Kennzahlen[fuel type],"CNG",Tabelle_alle_Kennzahlen[characteristic],"lower heating value",Tabelle_alle_Kennzahlen[viability],"yes")</f>
        <v>47.286225977392448</v>
      </c>
      <c r="F67" s="20">
        <f>COUNTIFS(Tabelle_alle_Kennzahlen[[#All],[fuel type]],"=CNG",Tabelle_alle_Kennzahlen[[#All],[characteristic]],"=lower heating value",Tabelle_alle_Kennzahlen[[#All],[viability]],"=yes")</f>
        <v>11</v>
      </c>
      <c r="G67" s="20" t="s">
        <v>14</v>
      </c>
      <c r="H67" s="23"/>
      <c r="I67" s="26" t="e">
        <f>DSTDEV(Tabelle_alle_Kennzahlen[#All],'2'!$I$3,'2'!L66:N67)</f>
        <v>#DIV/0!</v>
      </c>
      <c r="J67" s="20">
        <f>COUNTIFS(Tabelle_alle_Kennzahlen[[#All],[fuel type]],"=Biomethan",Tabelle_alle_Kennzahlen[[#All],[characteristic]],"=lower heating value",Tabelle_alle_Kennzahlen[[#All],[viability]],"=yes")</f>
        <v>1</v>
      </c>
      <c r="L67" s="30" t="s">
        <v>87</v>
      </c>
      <c r="M67" s="30" t="s">
        <v>168</v>
      </c>
      <c r="N67" s="30" t="s">
        <v>154</v>
      </c>
    </row>
    <row r="68" spans="2:14" x14ac:dyDescent="0.3">
      <c r="B68" s="81"/>
      <c r="C68" s="23"/>
      <c r="D68" s="18"/>
      <c r="E68" s="27"/>
      <c r="F68" s="20"/>
      <c r="G68" s="20"/>
      <c r="H68" s="23"/>
      <c r="I68" s="27"/>
      <c r="J68" s="20"/>
      <c r="L68" s="30" t="s">
        <v>126</v>
      </c>
      <c r="M68" s="30" t="s">
        <v>127</v>
      </c>
      <c r="N68" s="30" t="s">
        <v>133</v>
      </c>
    </row>
    <row r="69" spans="2:14" x14ac:dyDescent="0.3">
      <c r="B69" s="81"/>
      <c r="C69" s="23" t="s">
        <v>134</v>
      </c>
      <c r="D69" s="18"/>
      <c r="E69" s="26" t="e">
        <f>AVERAGEIFS(Tabelle_alle_Kennzahlen[value (converted)],Tabelle_alle_Kennzahlen[fuel type],"Biomethan",Tabelle_alle_Kennzahlen[characteristic],"density",Tabelle_alle_Kennzahlen[viability],"yes")</f>
        <v>#DIV/0!</v>
      </c>
      <c r="F69" s="20">
        <f>COUNTIFS(Tabelle_alle_Kennzahlen[[#All],[fuel type]],"=Biomethan",Tabelle_alle_Kennzahlen[[#All],[characteristic]],"=density",Tabelle_alle_Kennzahlen[[#All],[viability]],"=yes")</f>
        <v>0</v>
      </c>
      <c r="G69" s="20" t="s">
        <v>19</v>
      </c>
      <c r="H69" s="23"/>
      <c r="I69" s="26" t="e">
        <f>DSTDEV(Tabelle_alle_Kennzahlen[#All],'2'!$I$3,'2'!L68:N69)</f>
        <v>#DIV/0!</v>
      </c>
      <c r="J69" s="20">
        <f>COUNTIFS(Tabelle_alle_Kennzahlen[[#All],[fuel type]],"=Biomethan",Tabelle_alle_Kennzahlen[[#All],[characteristic]],"=density",Tabelle_alle_Kennzahlen[[#All],[viability]],"=yes")</f>
        <v>0</v>
      </c>
      <c r="L69" s="30" t="s">
        <v>87</v>
      </c>
      <c r="M69" s="30" t="s">
        <v>134</v>
      </c>
      <c r="N69" s="30" t="s">
        <v>154</v>
      </c>
    </row>
    <row r="70" spans="2:14" x14ac:dyDescent="0.3">
      <c r="B70" s="81"/>
      <c r="C70" s="23"/>
      <c r="D70" s="18"/>
      <c r="E70" s="27"/>
      <c r="F70" s="20"/>
      <c r="G70" s="20"/>
      <c r="H70" s="23"/>
      <c r="I70" s="27"/>
      <c r="J70" s="20"/>
      <c r="L70" s="30" t="s">
        <v>126</v>
      </c>
      <c r="M70" s="30" t="s">
        <v>127</v>
      </c>
      <c r="N70" s="30" t="s">
        <v>133</v>
      </c>
    </row>
    <row r="71" spans="2:14" x14ac:dyDescent="0.3">
      <c r="B71" s="81"/>
      <c r="C71" s="23" t="s">
        <v>136</v>
      </c>
      <c r="D71" s="18"/>
      <c r="E71" s="26">
        <f>AVERAGEIFS(Tabelle_alle_Kennzahlen[value (converted)],Tabelle_alle_Kennzahlen[fuel type],"Biomethan",Tabelle_alle_Kennzahlen[characteristic],"fuel supply emissions",Tabelle_alle_Kennzahlen[viability],"yes")</f>
        <v>1.1311052376708473</v>
      </c>
      <c r="F71" s="20">
        <f>COUNTIFS(Tabelle_alle_Kennzahlen[[#All],[fuel type]],"=Biomethan",Tabelle_alle_Kennzahlen[[#All],[characteristic]],"=fuel supply emissions",Tabelle_alle_Kennzahlen[[#All],[viability]],"=yes")</f>
        <v>8</v>
      </c>
      <c r="G71" s="20" t="s">
        <v>158</v>
      </c>
      <c r="H71" s="23"/>
      <c r="I71" s="26">
        <f>DSTDEV(Tabelle_alle_Kennzahlen[#All],'2'!$I$3,'2'!L70:N71)</f>
        <v>0.78673987956358615</v>
      </c>
      <c r="J71" s="20">
        <f>COUNTIFS(Tabelle_alle_Kennzahlen[[#All],[fuel type]],"=Biomethan",Tabelle_alle_Kennzahlen[[#All],[characteristic]],"=fuel supply emissions",Tabelle_alle_Kennzahlen[[#All],[viability]],"=yes")</f>
        <v>8</v>
      </c>
      <c r="L71" s="30" t="s">
        <v>87</v>
      </c>
      <c r="M71" s="30" t="s">
        <v>136</v>
      </c>
      <c r="N71" s="30" t="s">
        <v>154</v>
      </c>
    </row>
    <row r="72" spans="2:14" x14ac:dyDescent="0.3">
      <c r="B72" s="81"/>
      <c r="C72" s="23"/>
      <c r="D72" s="18"/>
      <c r="E72" s="27"/>
      <c r="F72" s="20"/>
      <c r="G72" s="20"/>
      <c r="H72" s="23"/>
      <c r="I72" s="27"/>
      <c r="J72" s="20"/>
      <c r="L72" s="30" t="s">
        <v>126</v>
      </c>
      <c r="M72" s="30" t="s">
        <v>127</v>
      </c>
      <c r="N72" s="30" t="s">
        <v>133</v>
      </c>
    </row>
    <row r="73" spans="2:14" x14ac:dyDescent="0.3">
      <c r="B73" s="82"/>
      <c r="C73" s="23" t="s">
        <v>137</v>
      </c>
      <c r="D73" s="18"/>
      <c r="E73" s="25" t="e">
        <f>AVERAGEIFS(Tabelle_alle_Kennzahlen[value (converted)],Tabelle_alle_Kennzahlen[fuel type],"Biomethan",Tabelle_alle_Kennzahlen[characteristic],"direct fuel emissions",Tabelle_alle_Kennzahlen[viability],"yes")</f>
        <v>#DIV/0!</v>
      </c>
      <c r="F73" s="20">
        <f>COUNTIFS(Tabelle_alle_Kennzahlen[[#All],[fuel type]],"=Biomethan",Tabelle_alle_Kennzahlen[[#All],[characteristic]],"=direct fuel emissions",Tabelle_alle_Kennzahlen[[#All],[viability]],"=yes")</f>
        <v>0</v>
      </c>
      <c r="G73" s="20" t="s">
        <v>4</v>
      </c>
      <c r="H73" s="23"/>
      <c r="I73" s="25" t="e">
        <f>DSTDEV(Tabelle_alle_Kennzahlen[#All],'2'!$I$3,'2'!L72:N73)</f>
        <v>#DIV/0!</v>
      </c>
      <c r="J73" s="20">
        <f>COUNTIFS(Tabelle_alle_Kennzahlen[[#All],[fuel type]],"=Biomethan",Tabelle_alle_Kennzahlen[[#All],[characteristic]],"=direct fuel emissions",Tabelle_alle_Kennzahlen[[#All],[viability]],"=yes")</f>
        <v>0</v>
      </c>
      <c r="L73" s="30" t="s">
        <v>87</v>
      </c>
      <c r="M73" s="30" t="s">
        <v>137</v>
      </c>
      <c r="N73" s="30" t="s">
        <v>154</v>
      </c>
    </row>
  </sheetData>
  <mergeCells count="8">
    <mergeCell ref="B66:B73"/>
    <mergeCell ref="B57:B64"/>
    <mergeCell ref="B3:B10"/>
    <mergeCell ref="B12:B19"/>
    <mergeCell ref="B21:B28"/>
    <mergeCell ref="B30:B37"/>
    <mergeCell ref="B39:B46"/>
    <mergeCell ref="B48:B55"/>
  </mergeCells>
  <pageMargins left="0.7" right="0.7" top="0.78740157499999996" bottom="0.78740157499999996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J30"/>
  <sheetViews>
    <sheetView workbookViewId="0">
      <selection sqref="A1:J1"/>
    </sheetView>
  </sheetViews>
  <sheetFormatPr defaultColWidth="11.5546875" defaultRowHeight="14.4" x14ac:dyDescent="0.3"/>
  <cols>
    <col min="1" max="1" width="5.6640625" bestFit="1" customWidth="1"/>
    <col min="2" max="2" width="14" bestFit="1" customWidth="1"/>
    <col min="3" max="3" width="10.88671875" customWidth="1"/>
    <col min="4" max="4" width="10.6640625" bestFit="1" customWidth="1"/>
    <col min="5" max="5" width="26.6640625" customWidth="1"/>
    <col min="6" max="6" width="12.6640625" bestFit="1" customWidth="1"/>
    <col min="7" max="7" width="9.5546875" bestFit="1" customWidth="1"/>
    <col min="8" max="8" width="8.5546875" customWidth="1"/>
    <col min="9" max="9" width="20.44140625" customWidth="1"/>
    <col min="10" max="10" width="18.33203125" customWidth="1"/>
    <col min="11" max="11" width="18.6640625" customWidth="1"/>
    <col min="12" max="12" width="12.109375" bestFit="1" customWidth="1"/>
    <col min="13" max="13" width="14" bestFit="1" customWidth="1"/>
  </cols>
  <sheetData>
    <row r="1" spans="1:10" ht="18" customHeight="1" x14ac:dyDescent="0.35">
      <c r="A1" s="79" t="s">
        <v>181</v>
      </c>
      <c r="B1" s="79"/>
      <c r="C1" s="79"/>
      <c r="D1" s="79"/>
      <c r="E1" s="79"/>
      <c r="F1" s="79"/>
      <c r="G1" s="79"/>
      <c r="H1" s="79"/>
      <c r="I1" s="79"/>
      <c r="J1" s="79"/>
    </row>
    <row r="2" spans="1:10" ht="43.2" x14ac:dyDescent="0.3">
      <c r="A2" s="35" t="s">
        <v>123</v>
      </c>
      <c r="B2" s="6" t="s">
        <v>124</v>
      </c>
      <c r="C2" s="6" t="s">
        <v>125</v>
      </c>
      <c r="D2" s="6" t="s">
        <v>126</v>
      </c>
      <c r="E2" s="6" t="s">
        <v>177</v>
      </c>
      <c r="F2" s="6" t="s">
        <v>178</v>
      </c>
      <c r="G2" s="6" t="s">
        <v>168</v>
      </c>
      <c r="H2" s="6" t="s">
        <v>135</v>
      </c>
      <c r="I2" s="6" t="s">
        <v>179</v>
      </c>
      <c r="J2" s="6" t="s">
        <v>180</v>
      </c>
    </row>
    <row r="3" spans="1:10" x14ac:dyDescent="0.3">
      <c r="A3">
        <v>1</v>
      </c>
      <c r="B3" t="s">
        <v>176</v>
      </c>
      <c r="D3" t="s">
        <v>142</v>
      </c>
      <c r="E3" s="1" t="s">
        <v>173</v>
      </c>
      <c r="F3" s="7">
        <v>0</v>
      </c>
      <c r="G3" s="13">
        <f>(1-Tabelle24575[[#This Row],[percentage]])*'2'!$E$4+Tabelle24575[[#This Row],[percentage]]*'2'!$E$40</f>
        <v>42.977333333333334</v>
      </c>
      <c r="H3" s="13">
        <f>(1-Tabelle24575[[#This Row],[percentage]])*'2'!$E$6+Tabelle24575[[#This Row],[percentage]]*'2'!$E$42</f>
        <v>0.74524999999999997</v>
      </c>
      <c r="I3">
        <f>(1-Tabelle24575[[#This Row],[percentage]])*'2'!$E$8+Tabelle24575[[#This Row],[percentage]]*'2'!$E$44</f>
        <v>0.65131589885284868</v>
      </c>
      <c r="J3">
        <f>(1-Tabelle24575[[#This Row],[percentage]])*'2'!$E$10</f>
        <v>7.2641767969751578E-5</v>
      </c>
    </row>
    <row r="4" spans="1:10" x14ac:dyDescent="0.3">
      <c r="A4">
        <v>2</v>
      </c>
      <c r="B4" t="s">
        <v>176</v>
      </c>
      <c r="D4" t="s">
        <v>142</v>
      </c>
      <c r="E4" s="1" t="s">
        <v>173</v>
      </c>
      <c r="F4" s="7">
        <v>0.01</v>
      </c>
      <c r="G4" s="13">
        <f>(1-Tabelle24575[[#This Row],[percentage]])*'2'!$E$4+Tabelle24575[[#This Row],[percentage]]*'2'!$E$40</f>
        <v>42.815434999999994</v>
      </c>
      <c r="H4" s="13">
        <f>(1-Tabelle24575[[#This Row],[percentage]])*'2'!$E$6+Tabelle24575[[#This Row],[percentage]]*'2'!$E$42</f>
        <v>0.74565749999999997</v>
      </c>
      <c r="I4">
        <f>(1-Tabelle24575[[#This Row],[percentage]])*'2'!$E$8+Tabelle24575[[#This Row],[percentage]]*'2'!$E$44</f>
        <v>0.65731255230251473</v>
      </c>
      <c r="J4">
        <f>(1-Tabelle24575[[#This Row],[percentage]])*'2'!$E$10</f>
        <v>7.1915350290054062E-5</v>
      </c>
    </row>
    <row r="5" spans="1:10" x14ac:dyDescent="0.3">
      <c r="A5">
        <v>3</v>
      </c>
      <c r="B5" t="s">
        <v>176</v>
      </c>
      <c r="D5" t="s">
        <v>142</v>
      </c>
      <c r="E5" s="1" t="s">
        <v>173</v>
      </c>
      <c r="F5" s="7">
        <v>0.02</v>
      </c>
      <c r="G5" s="13">
        <f>(1-Tabelle24575[[#This Row],[percentage]])*'2'!$E$4+Tabelle24575[[#This Row],[percentage]]*'2'!$E$40</f>
        <v>42.653536666666668</v>
      </c>
      <c r="H5" s="13">
        <f>(1-Tabelle24575[[#This Row],[percentage]])*'2'!$E$6+Tabelle24575[[#This Row],[percentage]]*'2'!$E$42</f>
        <v>0.74606499999999987</v>
      </c>
      <c r="I5">
        <f>(1-Tabelle24575[[#This Row],[percentage]])*'2'!$E$8+Tabelle24575[[#This Row],[percentage]]*'2'!$E$44</f>
        <v>0.66330920575218055</v>
      </c>
      <c r="J5">
        <f>(1-Tabelle24575[[#This Row],[percentage]])*'2'!$E$10</f>
        <v>7.1188932610356546E-5</v>
      </c>
    </row>
    <row r="6" spans="1:10" x14ac:dyDescent="0.3">
      <c r="A6">
        <v>4</v>
      </c>
      <c r="B6" t="s">
        <v>176</v>
      </c>
      <c r="D6" t="s">
        <v>142</v>
      </c>
      <c r="E6" s="1" t="s">
        <v>173</v>
      </c>
      <c r="F6" s="7">
        <v>0.03</v>
      </c>
      <c r="G6" s="13">
        <f>(1-Tabelle24575[[#This Row],[percentage]])*'2'!$E$4+Tabelle24575[[#This Row],[percentage]]*'2'!$E$40</f>
        <v>42.491638333333327</v>
      </c>
      <c r="H6" s="13">
        <f>(1-Tabelle24575[[#This Row],[percentage]])*'2'!$E$6+Tabelle24575[[#This Row],[percentage]]*'2'!$E$42</f>
        <v>0.74647249999999998</v>
      </c>
      <c r="I6">
        <f>(1-Tabelle24575[[#This Row],[percentage]])*'2'!$E$8+Tabelle24575[[#This Row],[percentage]]*'2'!$E$44</f>
        <v>0.6693058592018466</v>
      </c>
      <c r="J6">
        <f>(1-Tabelle24575[[#This Row],[percentage]])*'2'!$E$10</f>
        <v>7.046251493065903E-5</v>
      </c>
    </row>
    <row r="7" spans="1:10" x14ac:dyDescent="0.3">
      <c r="A7">
        <v>5</v>
      </c>
      <c r="B7" t="s">
        <v>176</v>
      </c>
      <c r="D7" t="s">
        <v>142</v>
      </c>
      <c r="E7" s="1" t="s">
        <v>173</v>
      </c>
      <c r="F7" s="7">
        <v>0.04</v>
      </c>
      <c r="G7" s="13">
        <f>(1-Tabelle24575[[#This Row],[percentage]])*'2'!$E$4+Tabelle24575[[#This Row],[percentage]]*'2'!$E$40</f>
        <v>42.329740000000001</v>
      </c>
      <c r="H7" s="13">
        <f>(1-Tabelle24575[[#This Row],[percentage]])*'2'!$E$6+Tabelle24575[[#This Row],[percentage]]*'2'!$E$42</f>
        <v>0.74687999999999999</v>
      </c>
      <c r="I7">
        <f>(1-Tabelle24575[[#This Row],[percentage]])*'2'!$E$8+Tabelle24575[[#This Row],[percentage]]*'2'!$E$44</f>
        <v>0.67530251265151242</v>
      </c>
      <c r="J7">
        <f>(1-Tabelle24575[[#This Row],[percentage]])*'2'!$E$10</f>
        <v>6.9736097250961513E-5</v>
      </c>
    </row>
    <row r="8" spans="1:10" x14ac:dyDescent="0.3">
      <c r="A8">
        <v>6</v>
      </c>
      <c r="B8" t="s">
        <v>176</v>
      </c>
      <c r="D8" t="s">
        <v>142</v>
      </c>
      <c r="E8" s="1" t="s">
        <v>173</v>
      </c>
      <c r="F8" s="7">
        <v>0.05</v>
      </c>
      <c r="G8" s="13">
        <f>(1-Tabelle24575[[#This Row],[percentage]])*'2'!$E$4+Tabelle24575[[#This Row],[percentage]]*'2'!$E$40</f>
        <v>42.167841666666661</v>
      </c>
      <c r="H8" s="13">
        <f>(1-Tabelle24575[[#This Row],[percentage]])*'2'!$E$6+Tabelle24575[[#This Row],[percentage]]*'2'!$E$42</f>
        <v>0.74728749999999999</v>
      </c>
      <c r="I8">
        <f>(1-Tabelle24575[[#This Row],[percentage]])*'2'!$E$8+Tabelle24575[[#This Row],[percentage]]*'2'!$E$44</f>
        <v>0.68129916610117847</v>
      </c>
      <c r="J8">
        <f>(1-Tabelle24575[[#This Row],[percentage]])*'2'!$E$10</f>
        <v>6.9009679571263997E-5</v>
      </c>
    </row>
    <row r="9" spans="1:10" x14ac:dyDescent="0.3">
      <c r="A9">
        <v>7</v>
      </c>
      <c r="B9" t="s">
        <v>176</v>
      </c>
      <c r="D9" t="s">
        <v>142</v>
      </c>
      <c r="E9" s="1" t="s">
        <v>173</v>
      </c>
      <c r="F9" s="7">
        <v>0.06</v>
      </c>
      <c r="G9" s="13">
        <f>(1-Tabelle24575[[#This Row],[percentage]])*'2'!$E$4+Tabelle24575[[#This Row],[percentage]]*'2'!$E$40</f>
        <v>42.005943333333335</v>
      </c>
      <c r="H9" s="13">
        <f>(1-Tabelle24575[[#This Row],[percentage]])*'2'!$E$6+Tabelle24575[[#This Row],[percentage]]*'2'!$E$42</f>
        <v>0.74769499999999989</v>
      </c>
      <c r="I9">
        <f>(1-Tabelle24575[[#This Row],[percentage]])*'2'!$E$8+Tabelle24575[[#This Row],[percentage]]*'2'!$E$44</f>
        <v>0.68729581955084429</v>
      </c>
      <c r="J9">
        <f>(1-Tabelle24575[[#This Row],[percentage]])*'2'!$E$10</f>
        <v>6.8283261891566481E-5</v>
      </c>
    </row>
    <row r="10" spans="1:10" x14ac:dyDescent="0.3">
      <c r="A10">
        <v>8</v>
      </c>
      <c r="B10" t="s">
        <v>176</v>
      </c>
      <c r="D10" t="s">
        <v>142</v>
      </c>
      <c r="E10" s="1" t="s">
        <v>173</v>
      </c>
      <c r="F10" s="7">
        <v>7.0000000000000007E-2</v>
      </c>
      <c r="G10" s="13">
        <f>(1-Tabelle24575[[#This Row],[percentage]])*'2'!$E$4+Tabelle24575[[#This Row],[percentage]]*'2'!$E$40</f>
        <v>41.844044999999994</v>
      </c>
      <c r="H10" s="13">
        <f>(1-Tabelle24575[[#This Row],[percentage]])*'2'!$E$6+Tabelle24575[[#This Row],[percentage]]*'2'!$E$42</f>
        <v>0.74810249999999989</v>
      </c>
      <c r="I10">
        <f>(1-Tabelle24575[[#This Row],[percentage]])*'2'!$E$8+Tabelle24575[[#This Row],[percentage]]*'2'!$E$44</f>
        <v>0.69329247300051033</v>
      </c>
      <c r="J10">
        <f>(1-Tabelle24575[[#This Row],[percentage]])*'2'!$E$10</f>
        <v>6.7556844211868965E-5</v>
      </c>
    </row>
    <row r="11" spans="1:10" x14ac:dyDescent="0.3">
      <c r="A11">
        <v>9</v>
      </c>
      <c r="B11" t="s">
        <v>176</v>
      </c>
      <c r="D11" t="s">
        <v>142</v>
      </c>
      <c r="E11" s="1" t="s">
        <v>173</v>
      </c>
      <c r="F11" s="7">
        <v>0.08</v>
      </c>
      <c r="G11" s="13">
        <f>(1-Tabelle24575[[#This Row],[percentage]])*'2'!$E$4+Tabelle24575[[#This Row],[percentage]]*'2'!$E$40</f>
        <v>41.682146666666668</v>
      </c>
      <c r="H11" s="13">
        <f>(1-Tabelle24575[[#This Row],[percentage]])*'2'!$E$6+Tabelle24575[[#This Row],[percentage]]*'2'!$E$42</f>
        <v>0.74851000000000001</v>
      </c>
      <c r="I11">
        <f>(1-Tabelle24575[[#This Row],[percentage]])*'2'!$E$8+Tabelle24575[[#This Row],[percentage]]*'2'!$E$44</f>
        <v>0.69928912645017638</v>
      </c>
      <c r="J11">
        <f>(1-Tabelle24575[[#This Row],[percentage]])*'2'!$E$10</f>
        <v>6.6830426532171449E-5</v>
      </c>
    </row>
    <row r="12" spans="1:10" x14ac:dyDescent="0.3">
      <c r="A12">
        <v>10</v>
      </c>
      <c r="B12" t="s">
        <v>176</v>
      </c>
      <c r="D12" t="s">
        <v>142</v>
      </c>
      <c r="E12" s="1" t="s">
        <v>173</v>
      </c>
      <c r="F12" s="7">
        <v>0.09</v>
      </c>
      <c r="G12" s="13">
        <f>(1-Tabelle24575[[#This Row],[percentage]])*'2'!$E$4+Tabelle24575[[#This Row],[percentage]]*'2'!$E$40</f>
        <v>41.520248333333335</v>
      </c>
      <c r="H12" s="13">
        <f>(1-Tabelle24575[[#This Row],[percentage]])*'2'!$E$6+Tabelle24575[[#This Row],[percentage]]*'2'!$E$42</f>
        <v>0.74891750000000001</v>
      </c>
      <c r="I12">
        <f>(1-Tabelle24575[[#This Row],[percentage]])*'2'!$E$8+Tabelle24575[[#This Row],[percentage]]*'2'!$E$44</f>
        <v>0.70528577989984231</v>
      </c>
      <c r="J12">
        <f>(1-Tabelle24575[[#This Row],[percentage]])*'2'!$E$10</f>
        <v>6.6104008852473932E-5</v>
      </c>
    </row>
    <row r="13" spans="1:10" x14ac:dyDescent="0.3">
      <c r="A13">
        <v>11</v>
      </c>
      <c r="B13" t="s">
        <v>176</v>
      </c>
      <c r="D13" t="s">
        <v>142</v>
      </c>
      <c r="E13" s="1" t="s">
        <v>173</v>
      </c>
      <c r="F13" s="7">
        <v>0.1</v>
      </c>
      <c r="G13" s="13">
        <f>(1-Tabelle24575[[#This Row],[percentage]])*'2'!$E$4+Tabelle24575[[#This Row],[percentage]]*'2'!$E$40</f>
        <v>41.358350000000002</v>
      </c>
      <c r="H13" s="13">
        <f>(1-Tabelle24575[[#This Row],[percentage]])*'2'!$E$6+Tabelle24575[[#This Row],[percentage]]*'2'!$E$42</f>
        <v>0.74932500000000002</v>
      </c>
      <c r="I13">
        <f>(1-Tabelle24575[[#This Row],[percentage]])*'2'!$E$8+Tabelle24575[[#This Row],[percentage]]*'2'!$E$44</f>
        <v>0.71128243334950825</v>
      </c>
      <c r="J13">
        <f>(1-Tabelle24575[[#This Row],[percentage]])*'2'!$E$10</f>
        <v>6.5377591172776416E-5</v>
      </c>
    </row>
    <row r="14" spans="1:10" x14ac:dyDescent="0.3">
      <c r="A14">
        <v>12</v>
      </c>
      <c r="B14" t="s">
        <v>176</v>
      </c>
      <c r="D14" t="s">
        <v>147</v>
      </c>
      <c r="E14" s="1" t="s">
        <v>174</v>
      </c>
      <c r="F14" s="33">
        <v>0</v>
      </c>
      <c r="G14" s="13">
        <f>(1-Tabelle24575[[#This Row],[percentage]])*'2'!$E$13+Tabelle24575[[#This Row],[percentage]]*'2'!$E$49</f>
        <v>42.925555555555555</v>
      </c>
      <c r="H14" s="13">
        <f>(1-Tabelle24575[[#This Row],[percentage]])*'2'!$E$15+Tabelle24575[[#This Row],[percentage]]*'2'!$E$51</f>
        <v>0.83699999999999997</v>
      </c>
      <c r="I14">
        <f>(1-Tabelle24575[[#This Row],[percentage]])*'2'!$E$17+Tabelle24575[[#This Row],[percentage]]*'2'!$E$53</f>
        <v>0.57210734416618825</v>
      </c>
      <c r="J14">
        <f>(1-Tabelle24575[[#This Row],[percentage]])*'2'!$E$19</f>
        <v>7.3965865513042856E-5</v>
      </c>
    </row>
    <row r="15" spans="1:10" x14ac:dyDescent="0.3">
      <c r="A15">
        <v>13</v>
      </c>
      <c r="B15" t="s">
        <v>176</v>
      </c>
      <c r="D15" t="s">
        <v>147</v>
      </c>
      <c r="E15" s="1" t="s">
        <v>174</v>
      </c>
      <c r="F15" s="33">
        <v>0.01</v>
      </c>
      <c r="G15" s="13">
        <f>(1-Tabelle24575[[#This Row],[percentage]])*'2'!$E$13+Tabelle24575[[#This Row],[percentage]]*'2'!$E$49</f>
        <v>42.868719999999996</v>
      </c>
      <c r="H15" s="13">
        <f>(1-Tabelle24575[[#This Row],[percentage]])*'2'!$E$15+Tabelle24575[[#This Row],[percentage]]*'2'!$E$51</f>
        <v>0.83741999999999994</v>
      </c>
      <c r="I15">
        <f>(1-Tabelle24575[[#This Row],[percentage]])*'2'!$E$17+Tabelle24575[[#This Row],[percentage]]*'2'!$E$53</f>
        <v>0.58618522142452645</v>
      </c>
      <c r="J15">
        <f>(1-Tabelle24575[[#This Row],[percentage]])*'2'!$E$19</f>
        <v>7.3226206857912425E-5</v>
      </c>
    </row>
    <row r="16" spans="1:10" x14ac:dyDescent="0.3">
      <c r="A16">
        <v>14</v>
      </c>
      <c r="B16" t="s">
        <v>176</v>
      </c>
      <c r="D16" t="s">
        <v>147</v>
      </c>
      <c r="E16" s="1" t="s">
        <v>174</v>
      </c>
      <c r="F16" s="33">
        <v>0.02</v>
      </c>
      <c r="G16" s="13">
        <f>(1-Tabelle24575[[#This Row],[percentage]])*'2'!$E$13+Tabelle24575[[#This Row],[percentage]]*'2'!$E$49</f>
        <v>42.811884444444445</v>
      </c>
      <c r="H16" s="13">
        <f>(1-Tabelle24575[[#This Row],[percentage]])*'2'!$E$15+Tabelle24575[[#This Row],[percentage]]*'2'!$E$51</f>
        <v>0.83784000000000003</v>
      </c>
      <c r="I16">
        <f>(1-Tabelle24575[[#This Row],[percentage]])*'2'!$E$17+Tabelle24575[[#This Row],[percentage]]*'2'!$E$53</f>
        <v>0.60026309868286443</v>
      </c>
      <c r="J16">
        <f>(1-Tabelle24575[[#This Row],[percentage]])*'2'!$E$19</f>
        <v>7.2486548202781994E-5</v>
      </c>
    </row>
    <row r="17" spans="1:10" x14ac:dyDescent="0.3">
      <c r="A17">
        <v>15</v>
      </c>
      <c r="B17" t="s">
        <v>176</v>
      </c>
      <c r="D17" t="s">
        <v>147</v>
      </c>
      <c r="E17" s="1" t="s">
        <v>174</v>
      </c>
      <c r="F17" s="33">
        <v>0.03</v>
      </c>
      <c r="G17" s="13">
        <f>(1-Tabelle24575[[#This Row],[percentage]])*'2'!$E$13+Tabelle24575[[#This Row],[percentage]]*'2'!$E$49</f>
        <v>42.755048888888886</v>
      </c>
      <c r="H17" s="13">
        <f>(1-Tabelle24575[[#This Row],[percentage]])*'2'!$E$15+Tabelle24575[[#This Row],[percentage]]*'2'!$E$51</f>
        <v>0.83825999999999989</v>
      </c>
      <c r="I17">
        <f>(1-Tabelle24575[[#This Row],[percentage]])*'2'!$E$17+Tabelle24575[[#This Row],[percentage]]*'2'!$E$53</f>
        <v>0.61434097594120263</v>
      </c>
      <c r="J17">
        <f>(1-Tabelle24575[[#This Row],[percentage]])*'2'!$E$19</f>
        <v>7.1746889547651563E-5</v>
      </c>
    </row>
    <row r="18" spans="1:10" x14ac:dyDescent="0.3">
      <c r="A18">
        <v>16</v>
      </c>
      <c r="B18" t="s">
        <v>176</v>
      </c>
      <c r="D18" t="s">
        <v>147</v>
      </c>
      <c r="E18" s="1" t="s">
        <v>174</v>
      </c>
      <c r="F18" s="33">
        <v>0.04</v>
      </c>
      <c r="G18" s="13">
        <f>(1-Tabelle24575[[#This Row],[percentage]])*'2'!$E$13+Tabelle24575[[#This Row],[percentage]]*'2'!$E$49</f>
        <v>42.698213333333328</v>
      </c>
      <c r="H18" s="13">
        <f>(1-Tabelle24575[[#This Row],[percentage]])*'2'!$E$15+Tabelle24575[[#This Row],[percentage]]*'2'!$E$51</f>
        <v>0.83867999999999987</v>
      </c>
      <c r="I18">
        <f>(1-Tabelle24575[[#This Row],[percentage]])*'2'!$E$17+Tabelle24575[[#This Row],[percentage]]*'2'!$E$53</f>
        <v>0.62841885319954072</v>
      </c>
      <c r="J18">
        <f>(1-Tabelle24575[[#This Row],[percentage]])*'2'!$E$19</f>
        <v>7.1007230892521133E-5</v>
      </c>
    </row>
    <row r="19" spans="1:10" x14ac:dyDescent="0.3">
      <c r="A19">
        <v>17</v>
      </c>
      <c r="B19" t="s">
        <v>176</v>
      </c>
      <c r="D19" t="s">
        <v>147</v>
      </c>
      <c r="E19" s="1" t="s">
        <v>174</v>
      </c>
      <c r="F19" s="33">
        <v>0.05</v>
      </c>
      <c r="G19" s="13">
        <f>(1-Tabelle24575[[#This Row],[percentage]])*'2'!$E$13+Tabelle24575[[#This Row],[percentage]]*'2'!$E$49</f>
        <v>42.64137777777777</v>
      </c>
      <c r="H19" s="13">
        <f>(1-Tabelle24575[[#This Row],[percentage]])*'2'!$E$15+Tabelle24575[[#This Row],[percentage]]*'2'!$E$51</f>
        <v>0.83909999999999996</v>
      </c>
      <c r="I19">
        <f>(1-Tabelle24575[[#This Row],[percentage]])*'2'!$E$17+Tabelle24575[[#This Row],[percentage]]*'2'!$E$53</f>
        <v>0.64249673045787881</v>
      </c>
      <c r="J19">
        <f>(1-Tabelle24575[[#This Row],[percentage]])*'2'!$E$19</f>
        <v>7.0267572237390716E-5</v>
      </c>
    </row>
    <row r="20" spans="1:10" x14ac:dyDescent="0.3">
      <c r="A20">
        <v>18</v>
      </c>
      <c r="B20" t="s">
        <v>176</v>
      </c>
      <c r="D20" t="s">
        <v>147</v>
      </c>
      <c r="E20" s="1" t="s">
        <v>174</v>
      </c>
      <c r="F20" s="33">
        <v>0.06</v>
      </c>
      <c r="G20" s="13">
        <f>(1-Tabelle24575[[#This Row],[percentage]])*'2'!$E$13+Tabelle24575[[#This Row],[percentage]]*'2'!$E$49</f>
        <v>42.584542222222225</v>
      </c>
      <c r="H20" s="13">
        <f>(1-Tabelle24575[[#This Row],[percentage]])*'2'!$E$15+Tabelle24575[[#This Row],[percentage]]*'2'!$E$51</f>
        <v>0.83951999999999993</v>
      </c>
      <c r="I20">
        <f>(1-Tabelle24575[[#This Row],[percentage]])*'2'!$E$17+Tabelle24575[[#This Row],[percentage]]*'2'!$E$53</f>
        <v>0.6565746077162169</v>
      </c>
      <c r="J20">
        <f>(1-Tabelle24575[[#This Row],[percentage]])*'2'!$E$19</f>
        <v>6.9527913582260285E-5</v>
      </c>
    </row>
    <row r="21" spans="1:10" x14ac:dyDescent="0.3">
      <c r="A21">
        <v>19</v>
      </c>
      <c r="B21" t="s">
        <v>176</v>
      </c>
      <c r="D21" t="s">
        <v>147</v>
      </c>
      <c r="E21" s="1" t="s">
        <v>174</v>
      </c>
      <c r="F21" s="33">
        <v>7.0000000000000007E-2</v>
      </c>
      <c r="G21" s="13">
        <f>(1-Tabelle24575[[#This Row],[percentage]])*'2'!$E$13+Tabelle24575[[#This Row],[percentage]]*'2'!$E$49</f>
        <v>42.527706666666667</v>
      </c>
      <c r="H21" s="13">
        <f>(1-Tabelle24575[[#This Row],[percentage]])*'2'!$E$15+Tabelle24575[[#This Row],[percentage]]*'2'!$E$51</f>
        <v>0.83993999999999991</v>
      </c>
      <c r="I21">
        <f>(1-Tabelle24575[[#This Row],[percentage]])*'2'!$E$17+Tabelle24575[[#This Row],[percentage]]*'2'!$E$53</f>
        <v>0.67065248497455499</v>
      </c>
      <c r="J21">
        <f>(1-Tabelle24575[[#This Row],[percentage]])*'2'!$E$19</f>
        <v>6.8788254927129854E-5</v>
      </c>
    </row>
    <row r="22" spans="1:10" ht="28.8" x14ac:dyDescent="0.3">
      <c r="A22">
        <v>20</v>
      </c>
      <c r="B22" t="s">
        <v>76</v>
      </c>
      <c r="C22">
        <v>2019</v>
      </c>
      <c r="D22" t="s">
        <v>142</v>
      </c>
      <c r="E22" s="1" t="s">
        <v>143</v>
      </c>
      <c r="F22" s="75"/>
      <c r="G22" s="13"/>
      <c r="H22" s="13"/>
      <c r="I22">
        <v>87</v>
      </c>
    </row>
    <row r="23" spans="1:10" ht="28.8" x14ac:dyDescent="0.3">
      <c r="A23">
        <v>21</v>
      </c>
      <c r="B23" t="s">
        <v>76</v>
      </c>
      <c r="C23">
        <v>2019</v>
      </c>
      <c r="D23" t="s">
        <v>142</v>
      </c>
      <c r="E23" s="1" t="s">
        <v>144</v>
      </c>
      <c r="F23" s="75"/>
      <c r="G23" s="13"/>
      <c r="H23" s="13"/>
      <c r="I23">
        <v>86.5</v>
      </c>
    </row>
    <row r="24" spans="1:10" ht="28.8" x14ac:dyDescent="0.3">
      <c r="A24">
        <v>22</v>
      </c>
      <c r="B24" t="s">
        <v>76</v>
      </c>
      <c r="C24">
        <v>2019</v>
      </c>
      <c r="D24" t="s">
        <v>142</v>
      </c>
      <c r="E24" s="1" t="s">
        <v>145</v>
      </c>
      <c r="F24" s="34"/>
      <c r="G24" s="13"/>
      <c r="H24" s="13"/>
      <c r="I24">
        <v>82</v>
      </c>
    </row>
    <row r="25" spans="1:10" ht="28.8" x14ac:dyDescent="0.3">
      <c r="A25">
        <v>23</v>
      </c>
      <c r="B25" t="s">
        <v>76</v>
      </c>
      <c r="C25">
        <v>2019</v>
      </c>
      <c r="D25" t="s">
        <v>142</v>
      </c>
      <c r="E25" s="1" t="s">
        <v>146</v>
      </c>
      <c r="F25" s="34"/>
      <c r="G25" s="13"/>
      <c r="H25" s="13"/>
      <c r="I25">
        <v>0.745</v>
      </c>
    </row>
    <row r="26" spans="1:10" x14ac:dyDescent="0.3">
      <c r="A26">
        <v>24</v>
      </c>
      <c r="B26" t="s">
        <v>176</v>
      </c>
      <c r="D26" t="s">
        <v>150</v>
      </c>
      <c r="E26" s="1" t="s">
        <v>175</v>
      </c>
      <c r="F26" s="76">
        <v>0</v>
      </c>
      <c r="G26" s="13">
        <f>'2'!$E$22</f>
        <v>47.286225977392448</v>
      </c>
      <c r="H26" s="13"/>
      <c r="I26">
        <f>(1-Tabelle24575[[#This Row],[percentage]])*'2'!$E$26+Tabelle24575[[#This Row],[percentage]]*'2'!$E$71</f>
        <v>0.77300036077107848</v>
      </c>
      <c r="J26">
        <f>(1-Tabelle24575[[#This Row],[percentage]])*'2'!$E$28</f>
        <v>5.6324000000000005E-5</v>
      </c>
    </row>
    <row r="27" spans="1:10" x14ac:dyDescent="0.3">
      <c r="A27">
        <v>25</v>
      </c>
      <c r="B27" t="s">
        <v>176</v>
      </c>
      <c r="D27" t="s">
        <v>150</v>
      </c>
      <c r="E27" s="1" t="s">
        <v>175</v>
      </c>
      <c r="F27" s="76">
        <v>0.05</v>
      </c>
      <c r="G27" s="13">
        <f>'2'!$E$22</f>
        <v>47.286225977392448</v>
      </c>
      <c r="H27" s="13"/>
      <c r="I27">
        <f>(1-Tabelle24575[[#This Row],[percentage]])*'2'!$E$26+Tabelle24575[[#This Row],[percentage]]*'2'!$E$71</f>
        <v>0.79090560461606685</v>
      </c>
      <c r="J27">
        <f>(1-Tabelle24575[[#This Row],[percentage]])*'2'!$E$28</f>
        <v>5.3507800000000003E-5</v>
      </c>
    </row>
    <row r="28" spans="1:10" x14ac:dyDescent="0.3">
      <c r="A28">
        <v>26</v>
      </c>
      <c r="B28" t="s">
        <v>176</v>
      </c>
      <c r="D28" t="s">
        <v>150</v>
      </c>
      <c r="E28" s="1" t="s">
        <v>175</v>
      </c>
      <c r="F28" s="76">
        <v>0.1</v>
      </c>
      <c r="G28" s="13">
        <f>'2'!$E$22</f>
        <v>47.286225977392448</v>
      </c>
      <c r="H28" s="13"/>
      <c r="I28">
        <f>(1-Tabelle24575[[#This Row],[percentage]])*'2'!$E$26+Tabelle24575[[#This Row],[percentage]]*'2'!$E$71</f>
        <v>0.80881084846105544</v>
      </c>
      <c r="J28">
        <f>(1-Tabelle24575[[#This Row],[percentage]])*'2'!$E$28</f>
        <v>5.0691600000000008E-5</v>
      </c>
    </row>
    <row r="29" spans="1:10" x14ac:dyDescent="0.3">
      <c r="A29">
        <v>27</v>
      </c>
      <c r="B29" t="s">
        <v>176</v>
      </c>
      <c r="D29" t="s">
        <v>150</v>
      </c>
      <c r="E29" s="1" t="s">
        <v>175</v>
      </c>
      <c r="F29" s="76">
        <v>0.15</v>
      </c>
      <c r="G29" s="13">
        <f>'2'!$E$22</f>
        <v>47.286225977392448</v>
      </c>
      <c r="H29" s="13"/>
      <c r="I29">
        <f>(1-Tabelle24575[[#This Row],[percentage]])*'2'!$E$26+Tabelle24575[[#This Row],[percentage]]*'2'!$E$71</f>
        <v>0.8267160923060437</v>
      </c>
      <c r="J29">
        <f>(1-Tabelle24575[[#This Row],[percentage]])*'2'!$E$28</f>
        <v>4.7875400000000006E-5</v>
      </c>
    </row>
    <row r="30" spans="1:10" x14ac:dyDescent="0.3">
      <c r="A30">
        <v>28</v>
      </c>
      <c r="B30" t="s">
        <v>176</v>
      </c>
      <c r="D30" t="s">
        <v>150</v>
      </c>
      <c r="E30" s="1" t="s">
        <v>175</v>
      </c>
      <c r="F30" s="76">
        <v>0.2</v>
      </c>
      <c r="G30" s="13">
        <f>'2'!$E$22</f>
        <v>47.286225977392448</v>
      </c>
      <c r="H30" s="13"/>
      <c r="I30">
        <f>(1-Tabelle24575[[#This Row],[percentage]])*'2'!$E$26+Tabelle24575[[#This Row],[percentage]]*'2'!$E$71</f>
        <v>0.8446213361510323</v>
      </c>
      <c r="J30">
        <f>(1-Tabelle24575[[#This Row],[percentage]])*'2'!$E$28</f>
        <v>4.5059200000000004E-5</v>
      </c>
    </row>
  </sheetData>
  <mergeCells count="1">
    <mergeCell ref="A1:J1"/>
  </mergeCells>
  <pageMargins left="0.7" right="0.7" top="0.78740157499999996" bottom="0.78740157499999996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35:B46"/>
  <sheetViews>
    <sheetView workbookViewId="0"/>
  </sheetViews>
  <sheetFormatPr defaultColWidth="9.109375" defaultRowHeight="14.4" x14ac:dyDescent="0.3"/>
  <cols>
    <col min="1" max="1" width="40.6640625" customWidth="1"/>
    <col min="2" max="2" width="19.5546875" bestFit="1" customWidth="1"/>
  </cols>
  <sheetData>
    <row r="35" spans="1:2" x14ac:dyDescent="0.3">
      <c r="A35" s="8" t="s">
        <v>127</v>
      </c>
      <c r="B35" t="s">
        <v>168</v>
      </c>
    </row>
    <row r="36" spans="1:2" x14ac:dyDescent="0.3">
      <c r="A36" s="8" t="s">
        <v>133</v>
      </c>
      <c r="B36" t="s">
        <v>154</v>
      </c>
    </row>
    <row r="38" spans="1:2" x14ac:dyDescent="0.3">
      <c r="A38" s="8" t="s">
        <v>170</v>
      </c>
      <c r="B38" t="s">
        <v>171</v>
      </c>
    </row>
    <row r="39" spans="1:2" x14ac:dyDescent="0.3">
      <c r="A39" s="9" t="s">
        <v>30</v>
      </c>
      <c r="B39" s="4">
        <v>26.787500000000001</v>
      </c>
    </row>
    <row r="40" spans="1:2" x14ac:dyDescent="0.3">
      <c r="A40" s="9" t="s">
        <v>1</v>
      </c>
      <c r="B40" s="4">
        <v>37.241999999999997</v>
      </c>
    </row>
    <row r="41" spans="1:2" x14ac:dyDescent="0.3">
      <c r="A41" s="9" t="s">
        <v>0</v>
      </c>
      <c r="B41" s="4">
        <v>42.925555555555562</v>
      </c>
    </row>
    <row r="42" spans="1:2" x14ac:dyDescent="0.3">
      <c r="A42" s="9" t="s">
        <v>142</v>
      </c>
      <c r="B42" s="4">
        <v>42.977333333333334</v>
      </c>
    </row>
    <row r="43" spans="1:2" x14ac:dyDescent="0.3">
      <c r="A43" s="9" t="s">
        <v>38</v>
      </c>
      <c r="B43" s="4">
        <v>43.99</v>
      </c>
    </row>
    <row r="44" spans="1:2" x14ac:dyDescent="0.3">
      <c r="A44" s="9" t="s">
        <v>151</v>
      </c>
      <c r="B44" s="4">
        <v>45.989799999999995</v>
      </c>
    </row>
    <row r="45" spans="1:2" x14ac:dyDescent="0.3">
      <c r="A45" s="9" t="s">
        <v>150</v>
      </c>
      <c r="B45" s="4">
        <v>46.188207145943075</v>
      </c>
    </row>
    <row r="46" spans="1:2" x14ac:dyDescent="0.3">
      <c r="A46" s="9" t="s">
        <v>152</v>
      </c>
      <c r="B46" s="4">
        <v>120.3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33:B60"/>
  <sheetViews>
    <sheetView workbookViewId="0"/>
  </sheetViews>
  <sheetFormatPr defaultColWidth="11.5546875" defaultRowHeight="14.4" x14ac:dyDescent="0.3"/>
  <cols>
    <col min="1" max="1" width="40.6640625" customWidth="1"/>
    <col min="2" max="2" width="23" customWidth="1"/>
    <col min="3" max="3" width="24.88671875" customWidth="1"/>
    <col min="4" max="4" width="44" customWidth="1"/>
    <col min="5" max="5" width="65.44140625" customWidth="1"/>
    <col min="6" max="6" width="57.44140625" customWidth="1"/>
    <col min="7" max="7" width="153.33203125" bestFit="1" customWidth="1"/>
    <col min="8" max="8" width="119.33203125" bestFit="1" customWidth="1"/>
    <col min="9" max="9" width="81.5546875" bestFit="1" customWidth="1"/>
    <col min="10" max="14" width="74.6640625" bestFit="1" customWidth="1"/>
    <col min="15" max="15" width="255.6640625" bestFit="1" customWidth="1"/>
    <col min="16" max="16" width="15.5546875" bestFit="1" customWidth="1"/>
    <col min="17" max="17" width="10" bestFit="1" customWidth="1"/>
    <col min="18" max="18" width="9" bestFit="1" customWidth="1"/>
    <col min="19" max="19" width="12" bestFit="1" customWidth="1"/>
    <col min="20" max="21" width="8" bestFit="1" customWidth="1"/>
    <col min="22" max="22" width="5" bestFit="1" customWidth="1"/>
    <col min="23" max="23" width="6" bestFit="1" customWidth="1"/>
    <col min="24" max="25" width="8" bestFit="1" customWidth="1"/>
    <col min="26" max="28" width="7" bestFit="1" customWidth="1"/>
    <col min="29" max="29" width="3" bestFit="1" customWidth="1"/>
    <col min="30" max="30" width="6" bestFit="1" customWidth="1"/>
    <col min="31" max="31" width="5" bestFit="1" customWidth="1"/>
    <col min="32" max="32" width="6" bestFit="1" customWidth="1"/>
    <col min="33" max="33" width="5" bestFit="1" customWidth="1"/>
    <col min="34" max="34" width="6" bestFit="1" customWidth="1"/>
    <col min="35" max="35" width="3" bestFit="1" customWidth="1"/>
    <col min="36" max="36" width="5" bestFit="1" customWidth="1"/>
    <col min="37" max="38" width="7" bestFit="1" customWidth="1"/>
    <col min="39" max="39" width="6" bestFit="1" customWidth="1"/>
    <col min="40" max="40" width="5" bestFit="1" customWidth="1"/>
    <col min="41" max="41" width="7" bestFit="1" customWidth="1"/>
    <col min="42" max="42" width="6" bestFit="1" customWidth="1"/>
    <col min="43" max="45" width="5" bestFit="1" customWidth="1"/>
    <col min="46" max="46" width="12" bestFit="1" customWidth="1"/>
    <col min="47" max="48" width="5" bestFit="1" customWidth="1"/>
    <col min="49" max="50" width="6" bestFit="1" customWidth="1"/>
    <col min="51" max="52" width="7" bestFit="1" customWidth="1"/>
    <col min="53" max="53" width="7.6640625" bestFit="1" customWidth="1"/>
    <col min="54" max="54" width="6.33203125" bestFit="1" customWidth="1"/>
    <col min="55" max="55" width="15.5546875" bestFit="1" customWidth="1"/>
  </cols>
  <sheetData>
    <row r="33" spans="1:2" x14ac:dyDescent="0.3">
      <c r="A33" s="8" t="s">
        <v>126</v>
      </c>
      <c r="B33" t="s">
        <v>142</v>
      </c>
    </row>
    <row r="34" spans="1:2" x14ac:dyDescent="0.3">
      <c r="A34" s="8" t="s">
        <v>127</v>
      </c>
      <c r="B34" t="s">
        <v>61</v>
      </c>
    </row>
    <row r="35" spans="1:2" x14ac:dyDescent="0.3">
      <c r="A35" s="8" t="s">
        <v>133</v>
      </c>
      <c r="B35" t="s">
        <v>154</v>
      </c>
    </row>
    <row r="36" spans="1:2" x14ac:dyDescent="0.3">
      <c r="A36" s="8" t="s">
        <v>141</v>
      </c>
      <c r="B36" t="s">
        <v>89</v>
      </c>
    </row>
    <row r="38" spans="1:2" x14ac:dyDescent="0.3">
      <c r="A38" s="8" t="s">
        <v>170</v>
      </c>
      <c r="B38" t="s">
        <v>172</v>
      </c>
    </row>
    <row r="39" spans="1:2" x14ac:dyDescent="0.3">
      <c r="A39" s="9">
        <v>18</v>
      </c>
      <c r="B39" s="11"/>
    </row>
    <row r="40" spans="1:2" x14ac:dyDescent="0.3">
      <c r="A40" s="10" t="s">
        <v>18</v>
      </c>
      <c r="B40" s="2">
        <v>0.53721666666666668</v>
      </c>
    </row>
    <row r="41" spans="1:2" x14ac:dyDescent="0.3">
      <c r="A41" s="9">
        <v>39</v>
      </c>
      <c r="B41" s="11"/>
    </row>
    <row r="42" spans="1:2" x14ac:dyDescent="0.3">
      <c r="A42" s="10" t="s">
        <v>41</v>
      </c>
      <c r="B42" s="11">
        <v>0.59308720000000004</v>
      </c>
    </row>
    <row r="43" spans="1:2" x14ac:dyDescent="0.3">
      <c r="A43" s="9">
        <v>136</v>
      </c>
      <c r="B43" s="11"/>
    </row>
    <row r="44" spans="1:2" x14ac:dyDescent="0.3">
      <c r="A44" s="10" t="s">
        <v>51</v>
      </c>
      <c r="B44" s="11">
        <v>0.52862120000000001</v>
      </c>
    </row>
    <row r="45" spans="1:2" x14ac:dyDescent="0.3">
      <c r="A45" s="9">
        <v>142</v>
      </c>
      <c r="B45" s="11"/>
    </row>
    <row r="46" spans="1:2" x14ac:dyDescent="0.3">
      <c r="A46" s="10" t="s">
        <v>8</v>
      </c>
      <c r="B46" s="2">
        <v>0.50295418148148152</v>
      </c>
    </row>
    <row r="47" spans="1:2" x14ac:dyDescent="0.3">
      <c r="A47" s="9">
        <v>186</v>
      </c>
      <c r="B47" s="11"/>
    </row>
    <row r="48" spans="1:2" x14ac:dyDescent="0.3">
      <c r="A48" s="10" t="s">
        <v>76</v>
      </c>
      <c r="B48" s="11">
        <v>0.76329000000000002</v>
      </c>
    </row>
    <row r="49" spans="1:2" x14ac:dyDescent="0.3">
      <c r="A49" s="9">
        <v>194</v>
      </c>
      <c r="B49" s="11"/>
    </row>
    <row r="50" spans="1:2" x14ac:dyDescent="0.3">
      <c r="A50" s="10" t="s">
        <v>10</v>
      </c>
      <c r="B50" s="2">
        <v>0.85608856088560892</v>
      </c>
    </row>
    <row r="51" spans="1:2" x14ac:dyDescent="0.3">
      <c r="A51" s="9">
        <v>202</v>
      </c>
      <c r="B51" s="11"/>
    </row>
    <row r="52" spans="1:2" x14ac:dyDescent="0.3">
      <c r="A52" s="10" t="s">
        <v>64</v>
      </c>
      <c r="B52" s="11">
        <v>0.7177214666666667</v>
      </c>
    </row>
    <row r="53" spans="1:2" x14ac:dyDescent="0.3">
      <c r="A53" s="9">
        <v>210</v>
      </c>
      <c r="B53" s="11"/>
    </row>
    <row r="54" spans="1:2" x14ac:dyDescent="0.3">
      <c r="A54" s="10" t="s">
        <v>68</v>
      </c>
      <c r="B54" s="11">
        <v>0.57394943019943023</v>
      </c>
    </row>
    <row r="55" spans="1:2" x14ac:dyDescent="0.3">
      <c r="A55" s="9">
        <v>236</v>
      </c>
      <c r="B55" s="11"/>
    </row>
    <row r="56" spans="1:2" x14ac:dyDescent="0.3">
      <c r="A56" s="10" t="s">
        <v>76</v>
      </c>
      <c r="B56" s="11">
        <v>0.81499999999999995</v>
      </c>
    </row>
    <row r="57" spans="1:2" x14ac:dyDescent="0.3">
      <c r="A57" s="9">
        <v>239</v>
      </c>
      <c r="B57" s="11"/>
    </row>
    <row r="58" spans="1:2" x14ac:dyDescent="0.3">
      <c r="A58" s="10" t="s">
        <v>77</v>
      </c>
      <c r="B58" s="11">
        <v>0.77359199999999995</v>
      </c>
    </row>
    <row r="59" spans="1:2" x14ac:dyDescent="0.3">
      <c r="A59" s="9">
        <v>248</v>
      </c>
      <c r="B59" s="11"/>
    </row>
    <row r="60" spans="1:2" x14ac:dyDescent="0.3">
      <c r="A60" s="10" t="s">
        <v>82</v>
      </c>
      <c r="B60" s="11">
        <v>0.50295418148148152</v>
      </c>
    </row>
  </sheetData>
  <pageMargins left="0.7" right="0.7" top="0.78740157499999996" bottom="0.78740157499999996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34:B60"/>
  <sheetViews>
    <sheetView workbookViewId="0"/>
  </sheetViews>
  <sheetFormatPr defaultColWidth="9.109375" defaultRowHeight="14.4" x14ac:dyDescent="0.3"/>
  <cols>
    <col min="1" max="1" width="40.6640625" customWidth="1"/>
    <col min="2" max="2" width="23" bestFit="1" customWidth="1"/>
  </cols>
  <sheetData>
    <row r="34" spans="1:2" x14ac:dyDescent="0.3">
      <c r="A34" s="8" t="s">
        <v>126</v>
      </c>
      <c r="B34" t="s">
        <v>0</v>
      </c>
    </row>
    <row r="35" spans="1:2" x14ac:dyDescent="0.3">
      <c r="A35" s="8" t="s">
        <v>127</v>
      </c>
      <c r="B35" t="s">
        <v>61</v>
      </c>
    </row>
    <row r="36" spans="1:2" x14ac:dyDescent="0.3">
      <c r="A36" s="8" t="s">
        <v>133</v>
      </c>
      <c r="B36" t="s">
        <v>154</v>
      </c>
    </row>
    <row r="38" spans="1:2" x14ac:dyDescent="0.3">
      <c r="A38" s="8" t="s">
        <v>170</v>
      </c>
      <c r="B38" t="s">
        <v>172</v>
      </c>
    </row>
    <row r="39" spans="1:2" x14ac:dyDescent="0.3">
      <c r="A39" s="9">
        <v>35</v>
      </c>
      <c r="B39" s="11"/>
    </row>
    <row r="40" spans="1:2" x14ac:dyDescent="0.3">
      <c r="A40" s="10" t="s">
        <v>34</v>
      </c>
      <c r="B40" s="2">
        <v>0.58374999999999999</v>
      </c>
    </row>
    <row r="41" spans="1:2" x14ac:dyDescent="0.3">
      <c r="A41" s="9">
        <v>38</v>
      </c>
      <c r="B41" s="11"/>
    </row>
    <row r="42" spans="1:2" x14ac:dyDescent="0.3">
      <c r="A42" s="10" t="s">
        <v>41</v>
      </c>
      <c r="B42" s="11">
        <v>0.66105355555555556</v>
      </c>
    </row>
    <row r="43" spans="1:2" x14ac:dyDescent="0.3">
      <c r="A43" s="9">
        <v>137</v>
      </c>
      <c r="B43" s="11"/>
    </row>
    <row r="44" spans="1:2" x14ac:dyDescent="0.3">
      <c r="A44" s="10" t="s">
        <v>51</v>
      </c>
      <c r="B44" s="11">
        <v>0.48505877777777778</v>
      </c>
    </row>
    <row r="45" spans="1:2" x14ac:dyDescent="0.3">
      <c r="A45" s="9">
        <v>168</v>
      </c>
      <c r="B45" s="11"/>
    </row>
    <row r="46" spans="1:2" x14ac:dyDescent="0.3">
      <c r="A46" s="10" t="s">
        <v>92</v>
      </c>
      <c r="B46" s="11">
        <v>0.75119722222222229</v>
      </c>
    </row>
    <row r="47" spans="1:2" x14ac:dyDescent="0.3">
      <c r="A47" s="9">
        <v>187</v>
      </c>
      <c r="B47" s="11"/>
    </row>
    <row r="48" spans="1:2" x14ac:dyDescent="0.3">
      <c r="A48" s="10" t="s">
        <v>76</v>
      </c>
      <c r="B48" s="11">
        <v>0.54484999999999995</v>
      </c>
    </row>
    <row r="49" spans="1:2" x14ac:dyDescent="0.3">
      <c r="A49" s="9">
        <v>195</v>
      </c>
      <c r="B49" s="11"/>
    </row>
    <row r="50" spans="1:2" x14ac:dyDescent="0.3">
      <c r="A50" s="10" t="s">
        <v>10</v>
      </c>
      <c r="B50" s="2">
        <v>0.55913978494623662</v>
      </c>
    </row>
    <row r="51" spans="1:2" x14ac:dyDescent="0.3">
      <c r="A51" s="9">
        <v>211</v>
      </c>
      <c r="B51" s="11"/>
    </row>
    <row r="52" spans="1:2" x14ac:dyDescent="0.3">
      <c r="A52" s="10" t="s">
        <v>68</v>
      </c>
      <c r="B52" s="11">
        <v>0.48668430335097002</v>
      </c>
    </row>
    <row r="53" spans="1:2" x14ac:dyDescent="0.3">
      <c r="A53" s="9">
        <v>237</v>
      </c>
      <c r="B53" s="11"/>
    </row>
    <row r="54" spans="1:2" x14ac:dyDescent="0.3">
      <c r="A54" s="10" t="s">
        <v>76</v>
      </c>
      <c r="B54" s="11">
        <v>0.59</v>
      </c>
    </row>
    <row r="55" spans="1:2" x14ac:dyDescent="0.3">
      <c r="A55" s="9">
        <v>240</v>
      </c>
      <c r="B55" s="11"/>
    </row>
    <row r="56" spans="1:2" x14ac:dyDescent="0.3">
      <c r="A56" s="10" t="s">
        <v>77</v>
      </c>
      <c r="B56" s="11">
        <v>0.51510666666666671</v>
      </c>
    </row>
    <row r="57" spans="1:2" x14ac:dyDescent="0.3">
      <c r="A57" s="9">
        <v>250</v>
      </c>
      <c r="B57" s="11"/>
    </row>
    <row r="58" spans="1:2" x14ac:dyDescent="0.3">
      <c r="A58" s="10" t="s">
        <v>84</v>
      </c>
      <c r="B58" s="11">
        <v>0.41661636419753079</v>
      </c>
    </row>
    <row r="59" spans="1:2" x14ac:dyDescent="0.3">
      <c r="A59" s="9">
        <v>261</v>
      </c>
      <c r="B59" s="11"/>
    </row>
    <row r="60" spans="1:2" x14ac:dyDescent="0.3">
      <c r="A60" s="10" t="s">
        <v>93</v>
      </c>
      <c r="B60" s="11">
        <v>0.74690466666666655</v>
      </c>
    </row>
  </sheetData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34:B42"/>
  <sheetViews>
    <sheetView workbookViewId="0"/>
  </sheetViews>
  <sheetFormatPr defaultColWidth="9.109375" defaultRowHeight="14.4" x14ac:dyDescent="0.3"/>
  <cols>
    <col min="1" max="1" width="40.6640625" customWidth="1"/>
    <col min="2" max="2" width="23" bestFit="1" customWidth="1"/>
  </cols>
  <sheetData>
    <row r="34" spans="1:2" x14ac:dyDescent="0.3">
      <c r="A34" s="8" t="s">
        <v>126</v>
      </c>
      <c r="B34" t="s">
        <v>151</v>
      </c>
    </row>
    <row r="35" spans="1:2" x14ac:dyDescent="0.3">
      <c r="A35" s="8" t="s">
        <v>127</v>
      </c>
      <c r="B35" t="s">
        <v>61</v>
      </c>
    </row>
    <row r="36" spans="1:2" x14ac:dyDescent="0.3">
      <c r="A36" s="8" t="s">
        <v>133</v>
      </c>
      <c r="B36" t="s">
        <v>154</v>
      </c>
    </row>
    <row r="38" spans="1:2" x14ac:dyDescent="0.3">
      <c r="A38" s="8" t="s">
        <v>170</v>
      </c>
      <c r="B38" t="s">
        <v>172</v>
      </c>
    </row>
    <row r="39" spans="1:2" x14ac:dyDescent="0.3">
      <c r="A39" s="9">
        <v>29</v>
      </c>
      <c r="B39" s="11"/>
    </row>
    <row r="40" spans="1:2" x14ac:dyDescent="0.3">
      <c r="A40" s="10" t="s">
        <v>15</v>
      </c>
      <c r="B40" s="2">
        <v>0.63739725861401475</v>
      </c>
    </row>
    <row r="41" spans="1:2" x14ac:dyDescent="0.3">
      <c r="A41" s="9">
        <v>48</v>
      </c>
      <c r="B41" s="11"/>
    </row>
    <row r="42" spans="1:2" x14ac:dyDescent="0.3">
      <c r="A42" s="10" t="s">
        <v>91</v>
      </c>
      <c r="B42" s="11">
        <v>0.36791840000000003</v>
      </c>
    </row>
  </sheetData>
  <pageMargins left="0.7" right="0.7" top="0.75" bottom="0.75" header="0.3" footer="0.3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33:B76"/>
  <sheetViews>
    <sheetView workbookViewId="0"/>
  </sheetViews>
  <sheetFormatPr defaultColWidth="9.109375" defaultRowHeight="14.4" x14ac:dyDescent="0.3"/>
  <cols>
    <col min="1" max="1" width="40.6640625" customWidth="1"/>
    <col min="2" max="2" width="23" bestFit="1" customWidth="1"/>
  </cols>
  <sheetData>
    <row r="33" spans="1:2" x14ac:dyDescent="0.3">
      <c r="A33" s="8" t="s">
        <v>126</v>
      </c>
      <c r="B33" t="s">
        <v>150</v>
      </c>
    </row>
    <row r="34" spans="1:2" x14ac:dyDescent="0.3">
      <c r="A34" s="8" t="s">
        <v>127</v>
      </c>
      <c r="B34" t="s">
        <v>61</v>
      </c>
    </row>
    <row r="35" spans="1:2" x14ac:dyDescent="0.3">
      <c r="A35" s="8" t="s">
        <v>133</v>
      </c>
      <c r="B35" t="s">
        <v>154</v>
      </c>
    </row>
    <row r="36" spans="1:2" x14ac:dyDescent="0.3">
      <c r="A36" s="8" t="s">
        <v>141</v>
      </c>
      <c r="B36" t="s">
        <v>89</v>
      </c>
    </row>
    <row r="38" spans="1:2" x14ac:dyDescent="0.3">
      <c r="A38" s="8" t="s">
        <v>170</v>
      </c>
      <c r="B38" t="s">
        <v>172</v>
      </c>
    </row>
    <row r="39" spans="1:2" x14ac:dyDescent="0.3">
      <c r="A39" s="9">
        <v>19</v>
      </c>
      <c r="B39" s="11"/>
    </row>
    <row r="40" spans="1:2" x14ac:dyDescent="0.3">
      <c r="A40" s="10" t="s">
        <v>22</v>
      </c>
      <c r="B40" s="2">
        <v>0.66972900361617482</v>
      </c>
    </row>
    <row r="41" spans="1:2" x14ac:dyDescent="0.3">
      <c r="A41" s="9">
        <v>28</v>
      </c>
      <c r="B41" s="11"/>
    </row>
    <row r="42" spans="1:2" x14ac:dyDescent="0.3">
      <c r="A42" s="10" t="s">
        <v>15</v>
      </c>
      <c r="B42" s="2">
        <v>0.79905598362481545</v>
      </c>
    </row>
    <row r="43" spans="1:2" x14ac:dyDescent="0.3">
      <c r="A43" s="9">
        <v>36</v>
      </c>
      <c r="B43" s="11"/>
    </row>
    <row r="44" spans="1:2" x14ac:dyDescent="0.3">
      <c r="A44" s="10" t="s">
        <v>34</v>
      </c>
      <c r="B44" s="2">
        <v>0.48333333333333334</v>
      </c>
    </row>
    <row r="45" spans="1:2" x14ac:dyDescent="0.3">
      <c r="A45" s="9">
        <v>40</v>
      </c>
      <c r="B45" s="11"/>
    </row>
    <row r="46" spans="1:2" x14ac:dyDescent="0.3">
      <c r="A46" s="10" t="s">
        <v>90</v>
      </c>
      <c r="B46" s="11">
        <v>0.60044669289726016</v>
      </c>
    </row>
    <row r="47" spans="1:2" x14ac:dyDescent="0.3">
      <c r="A47" s="9">
        <v>41</v>
      </c>
      <c r="B47" s="11"/>
    </row>
    <row r="48" spans="1:2" x14ac:dyDescent="0.3">
      <c r="A48" s="10" t="s">
        <v>90</v>
      </c>
      <c r="B48" s="11">
        <v>1.0392346607837195</v>
      </c>
    </row>
    <row r="49" spans="1:2" x14ac:dyDescent="0.3">
      <c r="A49" s="9">
        <v>42</v>
      </c>
      <c r="B49" s="11"/>
    </row>
    <row r="50" spans="1:2" x14ac:dyDescent="0.3">
      <c r="A50" s="10" t="s">
        <v>90</v>
      </c>
      <c r="B50" s="11">
        <v>0.73901131433508949</v>
      </c>
    </row>
    <row r="51" spans="1:2" x14ac:dyDescent="0.3">
      <c r="A51" s="9">
        <v>43</v>
      </c>
      <c r="B51" s="11"/>
    </row>
    <row r="52" spans="1:2" x14ac:dyDescent="0.3">
      <c r="A52" s="10" t="s">
        <v>90</v>
      </c>
      <c r="B52" s="11">
        <v>0.96995235006480496</v>
      </c>
    </row>
    <row r="53" spans="1:2" x14ac:dyDescent="0.3">
      <c r="A53" s="9">
        <v>44</v>
      </c>
      <c r="B53" s="11"/>
    </row>
    <row r="54" spans="1:2" x14ac:dyDescent="0.3">
      <c r="A54" s="10" t="s">
        <v>90</v>
      </c>
      <c r="B54" s="11">
        <v>0.83138772862697552</v>
      </c>
    </row>
    <row r="55" spans="1:2" x14ac:dyDescent="0.3">
      <c r="A55" s="9">
        <v>45</v>
      </c>
      <c r="B55" s="11"/>
    </row>
    <row r="56" spans="1:2" x14ac:dyDescent="0.3">
      <c r="A56" s="10" t="s">
        <v>90</v>
      </c>
      <c r="B56" s="11">
        <v>0.96995235006480496</v>
      </c>
    </row>
    <row r="57" spans="1:2" x14ac:dyDescent="0.3">
      <c r="A57" s="9">
        <v>46</v>
      </c>
      <c r="B57" s="11"/>
    </row>
    <row r="58" spans="1:2" x14ac:dyDescent="0.3">
      <c r="A58" s="10" t="s">
        <v>90</v>
      </c>
      <c r="B58" s="11">
        <v>0.8775759357729187</v>
      </c>
    </row>
    <row r="59" spans="1:2" x14ac:dyDescent="0.3">
      <c r="A59" s="9">
        <v>164</v>
      </c>
      <c r="B59" s="11"/>
    </row>
    <row r="60" spans="1:2" x14ac:dyDescent="0.3">
      <c r="A60" s="10" t="s">
        <v>39</v>
      </c>
      <c r="B60" s="11">
        <v>0.57735258932428868</v>
      </c>
    </row>
    <row r="61" spans="1:2" x14ac:dyDescent="0.3">
      <c r="A61" s="9">
        <v>165</v>
      </c>
      <c r="B61" s="11"/>
    </row>
    <row r="62" spans="1:2" x14ac:dyDescent="0.3">
      <c r="A62" s="10" t="s">
        <v>39</v>
      </c>
      <c r="B62" s="11">
        <v>0.85448183219994711</v>
      </c>
    </row>
    <row r="63" spans="1:2" x14ac:dyDescent="0.3">
      <c r="A63" s="9">
        <v>166</v>
      </c>
      <c r="B63" s="11"/>
    </row>
    <row r="64" spans="1:2" x14ac:dyDescent="0.3">
      <c r="A64" s="10" t="s">
        <v>39</v>
      </c>
      <c r="B64" s="11">
        <v>1.2932698000864065</v>
      </c>
    </row>
    <row r="65" spans="1:2" x14ac:dyDescent="0.3">
      <c r="A65" s="9">
        <v>167</v>
      </c>
      <c r="B65" s="11"/>
    </row>
    <row r="66" spans="1:2" x14ac:dyDescent="0.3">
      <c r="A66" s="10" t="s">
        <v>39</v>
      </c>
      <c r="B66" s="11">
        <v>0.8775759357729187</v>
      </c>
    </row>
    <row r="67" spans="1:2" x14ac:dyDescent="0.3">
      <c r="A67" s="9">
        <v>212</v>
      </c>
      <c r="B67" s="11"/>
    </row>
    <row r="68" spans="1:2" x14ac:dyDescent="0.3">
      <c r="A68" s="10" t="s">
        <v>68</v>
      </c>
      <c r="B68" s="11">
        <v>0.57022477957954432</v>
      </c>
    </row>
    <row r="69" spans="1:2" x14ac:dyDescent="0.3">
      <c r="A69" s="9">
        <v>253</v>
      </c>
      <c r="B69" s="11"/>
    </row>
    <row r="70" spans="1:2" x14ac:dyDescent="0.3">
      <c r="A70" s="10" t="s">
        <v>86</v>
      </c>
      <c r="B70" s="11">
        <v>0.62123138611293449</v>
      </c>
    </row>
    <row r="71" spans="1:2" x14ac:dyDescent="0.3">
      <c r="A71" s="9">
        <v>262</v>
      </c>
      <c r="B71" s="11"/>
    </row>
    <row r="72" spans="1:2" x14ac:dyDescent="0.3">
      <c r="A72" s="10" t="s">
        <v>94</v>
      </c>
      <c r="B72" s="11">
        <v>0.59809109433281704</v>
      </c>
    </row>
    <row r="73" spans="1:2" x14ac:dyDescent="0.3">
      <c r="A73" s="9">
        <v>263</v>
      </c>
      <c r="B73" s="11"/>
    </row>
    <row r="74" spans="1:2" x14ac:dyDescent="0.3">
      <c r="A74" s="10" t="s">
        <v>94</v>
      </c>
      <c r="B74" s="11">
        <v>0.7020607486183349</v>
      </c>
    </row>
    <row r="75" spans="1:2" x14ac:dyDescent="0.3">
      <c r="A75" s="9">
        <v>264</v>
      </c>
      <c r="B75" s="11"/>
    </row>
    <row r="76" spans="1:2" x14ac:dyDescent="0.3">
      <c r="A76" s="10" t="s">
        <v>94</v>
      </c>
      <c r="B76" s="11">
        <v>0.97512542926515045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Inhalt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2019-12-03T14:07:58Z</dcterms:modified>
</cp:coreProperties>
</file>