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8" tabRatio="736"/>
  </bookViews>
  <sheets>
    <sheet name="Inhalt" sheetId="12" r:id="rId1"/>
    <sheet name="1" sheetId="7" r:id="rId2"/>
    <sheet name="2" sheetId="13" r:id="rId3"/>
    <sheet name="3" sheetId="14" r:id="rId4"/>
    <sheet name="4" sheetId="11" r:id="rId5"/>
  </sheets>
  <calcPr calcId="152511" calcMode="autoNoTable"/>
  <pivotCaches>
    <pivotCache cacheId="0" r:id="rId6"/>
    <pivotCache cacheId="1" r:id="rId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1" i="7" l="1"/>
  <c r="J119" i="7"/>
  <c r="I119" i="7"/>
  <c r="I120" i="7"/>
  <c r="I121" i="7"/>
  <c r="I122" i="7"/>
  <c r="I123" i="7"/>
  <c r="I40" i="7" l="1"/>
  <c r="I33" i="7"/>
  <c r="I34" i="7"/>
  <c r="I32" i="7"/>
  <c r="I35" i="7"/>
  <c r="I48" i="7"/>
  <c r="I41" i="7"/>
  <c r="I87" i="7" l="1"/>
  <c r="I94" i="7"/>
  <c r="J94" i="7"/>
  <c r="J87" i="7"/>
  <c r="J10" i="7"/>
  <c r="G10" i="7"/>
  <c r="I10" i="7" s="1"/>
  <c r="J11" i="7" l="1"/>
  <c r="I11" i="7"/>
  <c r="I117" i="7" l="1"/>
  <c r="I115" i="7" l="1"/>
  <c r="I111" i="7"/>
  <c r="I101" i="7"/>
  <c r="I114" i="7"/>
  <c r="I82" i="7"/>
  <c r="I80" i="7"/>
  <c r="I79" i="7"/>
  <c r="I110" i="7"/>
  <c r="I88" i="7"/>
  <c r="I100" i="7"/>
  <c r="I89" i="7"/>
  <c r="I118" i="7"/>
  <c r="I108" i="7"/>
  <c r="I116" i="7"/>
  <c r="I112" i="7"/>
  <c r="I98" i="7"/>
  <c r="I109" i="7"/>
  <c r="I106" i="7"/>
  <c r="I102" i="7"/>
  <c r="I85" i="7"/>
  <c r="I113" i="7"/>
  <c r="I97" i="7"/>
  <c r="I92" i="7"/>
  <c r="I99" i="7"/>
  <c r="I84" i="7"/>
  <c r="I91" i="7"/>
  <c r="I93" i="7"/>
  <c r="I81" i="7"/>
  <c r="I83" i="7"/>
  <c r="I86" i="7"/>
  <c r="I90" i="7"/>
  <c r="I95" i="7"/>
  <c r="I96" i="7"/>
  <c r="I103" i="7"/>
  <c r="I104" i="7"/>
  <c r="I105" i="7"/>
  <c r="I107" i="7"/>
  <c r="I77" i="7" l="1"/>
  <c r="I78" i="7"/>
  <c r="I76" i="7"/>
  <c r="I73" i="7"/>
  <c r="I74" i="7"/>
  <c r="I70" i="7"/>
  <c r="I59" i="7"/>
  <c r="I3" i="7"/>
  <c r="I65" i="7"/>
  <c r="I5" i="7"/>
  <c r="I63" i="7"/>
  <c r="I7" i="7"/>
  <c r="I75" i="7"/>
  <c r="I8" i="7"/>
  <c r="I72" i="7"/>
  <c r="I4" i="7"/>
  <c r="I66" i="7"/>
  <c r="I6" i="7"/>
  <c r="I64" i="7"/>
  <c r="I26" i="7"/>
  <c r="I57" i="7"/>
  <c r="I61" i="7"/>
  <c r="I53" i="7"/>
  <c r="I52" i="7"/>
  <c r="I17" i="7"/>
  <c r="I22" i="7"/>
  <c r="I18" i="7"/>
  <c r="I14" i="7"/>
  <c r="I20" i="7"/>
  <c r="I16" i="7"/>
  <c r="I19" i="7"/>
  <c r="I21" i="7"/>
  <c r="I15" i="7"/>
  <c r="I50" i="7"/>
  <c r="I39" i="7"/>
  <c r="I46" i="7"/>
  <c r="I47" i="7"/>
  <c r="I24" i="7"/>
  <c r="I45" i="7"/>
  <c r="I31" i="7"/>
  <c r="I38" i="7"/>
  <c r="I30" i="7"/>
  <c r="I27" i="7"/>
  <c r="I25" i="7" l="1"/>
  <c r="I23" i="7"/>
  <c r="I71" i="7"/>
  <c r="I69" i="7"/>
  <c r="I68" i="7"/>
  <c r="I67" i="7"/>
  <c r="I58" i="7"/>
  <c r="I55" i="7"/>
  <c r="I54" i="7"/>
  <c r="I60" i="7"/>
  <c r="I56" i="7"/>
  <c r="I42" i="7"/>
  <c r="I37" i="7"/>
  <c r="I13" i="7"/>
  <c r="I12" i="7"/>
  <c r="I29" i="7"/>
  <c r="J115" i="7" l="1"/>
  <c r="J111" i="7"/>
  <c r="J101" i="7"/>
  <c r="J114" i="7"/>
  <c r="J82" i="7"/>
  <c r="J36" i="7"/>
  <c r="J100" i="7"/>
  <c r="J89" i="7"/>
  <c r="J3" i="7"/>
  <c r="J5" i="7"/>
  <c r="J65" i="7"/>
  <c r="J63" i="7"/>
  <c r="J51" i="7"/>
  <c r="J49" i="7"/>
  <c r="J73" i="7"/>
  <c r="J74" i="7"/>
  <c r="J70" i="7"/>
  <c r="J116" i="7"/>
  <c r="J112" i="7"/>
  <c r="J98" i="7"/>
  <c r="J109" i="7"/>
  <c r="J106" i="7"/>
  <c r="J7" i="7"/>
  <c r="J8" i="7"/>
  <c r="J75" i="7"/>
  <c r="J72" i="7"/>
  <c r="J102" i="7"/>
  <c r="J85" i="7"/>
  <c r="J9" i="7"/>
  <c r="J71" i="7"/>
  <c r="J4" i="7"/>
  <c r="J6" i="7"/>
  <c r="J66" i="7"/>
  <c r="J64" i="7"/>
  <c r="J113" i="7"/>
  <c r="J97" i="7"/>
  <c r="J69" i="7"/>
  <c r="J68" i="7"/>
  <c r="J67" i="7"/>
  <c r="J62" i="7"/>
  <c r="J58" i="7"/>
  <c r="J55" i="7"/>
  <c r="J54" i="7"/>
  <c r="J60" i="7"/>
  <c r="J56" i="7"/>
  <c r="J91" i="7"/>
  <c r="J84" i="7"/>
  <c r="J99" i="7"/>
  <c r="J92" i="7"/>
  <c r="J93" i="7"/>
  <c r="J107" i="7"/>
  <c r="J90" i="7"/>
  <c r="J83" i="7"/>
  <c r="J28" i="7"/>
  <c r="G9" i="7" l="1"/>
  <c r="I9" i="7" s="1"/>
  <c r="I43" i="7" l="1"/>
  <c r="I44" i="7"/>
  <c r="G36" i="7"/>
  <c r="I36" i="7" s="1"/>
  <c r="I51" i="7" l="1"/>
  <c r="I49" i="7"/>
  <c r="G62" i="7" l="1"/>
  <c r="I62" i="7" s="1"/>
</calcChain>
</file>

<file path=xl/sharedStrings.xml><?xml version="1.0" encoding="utf-8"?>
<sst xmlns="http://schemas.openxmlformats.org/spreadsheetml/2006/main" count="744" uniqueCount="105">
  <si>
    <t>Eigenschaft</t>
  </si>
  <si>
    <t>Helmers, Eckard. Electric cars: technical characteristics and environmental impacts. S.4</t>
  </si>
  <si>
    <t>Wh/kg</t>
  </si>
  <si>
    <t>Helmers, Eckard. Electric cars: technical characteristics and environmental impacts. S.10</t>
  </si>
  <si>
    <t>Justin Amirault, Joshua Chien, Saurabh Garg, et. al. The Electric Vehicle Battery Landscape: Opportunities and Challenges. S.6</t>
  </si>
  <si>
    <t>Justin Amirault, Joshua Chien, Saurabh Garg, et. al. The Electric Vehicle Battery Landscape: Opportunities and Challenges. S.7</t>
  </si>
  <si>
    <t>Justin Amirault, Joshua Chien, Saurabh Garg, et. al. The Electric Vehicle Battery Landscape: Opportunities and Challenges. S.8</t>
  </si>
  <si>
    <t>NaClNi</t>
  </si>
  <si>
    <t>LiNiMnCo</t>
  </si>
  <si>
    <t>Li-titanat</t>
  </si>
  <si>
    <t>LiNiCo</t>
  </si>
  <si>
    <t>LiMn</t>
  </si>
  <si>
    <t>Dominic A. Notter; Marcel Gauch; Rolf Widmer; Patrick Wäger; Anna Stamp; Rainer Zah; Hans-Jörg Althaus. Contribution of Li-ion batteries to the environmental  impact of electric vehicles. S.39</t>
  </si>
  <si>
    <t>Kim, Hyung Chul; Wallington, Timothy J.; Arsenault, Renata; Bae, Chulheung; Ahn, Suckwon; Lee, Jaeran. Cradle-to-Gate Emissions from a Commercial Electric Vehicle Li-Ion Battery: A Comparative Analysis. S.2</t>
  </si>
  <si>
    <t>kWh/kg</t>
  </si>
  <si>
    <t>L(R)NM</t>
  </si>
  <si>
    <t>Wang, Yuqi; Yu, Yajuan; Huang, Kai; Chen, Bo; Deng, Wensheng; Yao, Ying. Quantifying the environmental impact of a Li-rich high-capacity cathode material in electric vehicles via life cycle assessment. S.1258</t>
  </si>
  <si>
    <t>Wu, Zheshan; Kong, Defei. Comparative life cycle assessment of lithium-ion batteries with lithium metal, silicon nanowire, and graphite anodes. S.1238</t>
  </si>
  <si>
    <t>NMC-C</t>
  </si>
  <si>
    <t>NMC-Li</t>
  </si>
  <si>
    <t>NMC-SiNWs</t>
  </si>
  <si>
    <t>Deng, Yelin; Li, Jianyang; Li, Tonghui; Gao, Xianfeng; Yuan, Chris. Life cycle assessment of lithium sulfur battery for electric vehicles. Supplementary Data Appendix: Table S26.</t>
  </si>
  <si>
    <t>NMC</t>
  </si>
  <si>
    <t>Li-S</t>
  </si>
  <si>
    <t>kg CO2/km</t>
  </si>
  <si>
    <t xml:space="preserve">Cusenza, Maria Anna; Bobba, Silvia; Ardente, Fulvio; Cellura, Maurizio; Di Persio, Franco. Energy and environmental assessment of a traction lithium-ion battery pack for plug-in hybrid electric vehicles. </t>
  </si>
  <si>
    <t>Berg, Helena; Zackrisson, Mats. Perspectives on environmental and cost assessment of lithium metal negative electrodes in electric vehicle traction batteries. S.87</t>
  </si>
  <si>
    <t>LMO-NMC</t>
  </si>
  <si>
    <t>NCA</t>
  </si>
  <si>
    <t>Deng, Yelin; Ma, Lulu; Li, Tonghui; Li, Jianyang; Yuan, Chris. Life Cycle Assessment of Silicon-Nanotube-Based Lithium Ion Battery for Electric Vehicles. S.</t>
  </si>
  <si>
    <t>NMC-Graphite</t>
  </si>
  <si>
    <t>NMC-SiNT</t>
  </si>
  <si>
    <t>LMO-Graphite</t>
  </si>
  <si>
    <t>LCO-Graphite</t>
  </si>
  <si>
    <t>NCA-Graphite</t>
  </si>
  <si>
    <t>Li2O-SiO</t>
  </si>
  <si>
    <t>g CO2/Wh</t>
  </si>
  <si>
    <t>Ellingsen, Linda Ager‐Wick; Majeau‐Bettez, Guillaume; Singh, Bhawna; Srivastava, Akhilesh Kumar; Valøen, Lars Ole; Strømman, Anders Hammer. Life Cycle Assessment of a Lithium‐Ion Battery Vehicle Pack. S.118</t>
  </si>
  <si>
    <t>Deng, Yelin; Li, Jianyang; Li, Tonghui; Zhang, Jingyi; Yang, Fan; Yuan, Chris. Life cycle assessment of high capacity molybdenum disulfide lithium-ion battery for electric vehicles. Table S13</t>
  </si>
  <si>
    <t>NMC-MoS2</t>
  </si>
  <si>
    <t>Zackrisson, Mats; Avellán, Lars; Orlenius, Jessica. Life cycle assessment of lithium-ion batteries for plug-in hybrid electric vehicles – Critical issues. S.1524</t>
  </si>
  <si>
    <t>Jens F. Peters; Manuel Baumann; Benedikt Zimmermann; Jessica Braun; Marcel Weil. The environmental impact of Li-Ion batteries and the role of key parameters – A review. Supplementary data.</t>
  </si>
  <si>
    <t>LCO-C</t>
  </si>
  <si>
    <t>LMO-C</t>
  </si>
  <si>
    <t>NCA-C</t>
  </si>
  <si>
    <t>LFP-LTO</t>
  </si>
  <si>
    <t>NCM-C</t>
  </si>
  <si>
    <t>LFP-C</t>
  </si>
  <si>
    <t>CMO-C (SS)</t>
  </si>
  <si>
    <t>LCO-C (SS)</t>
  </si>
  <si>
    <t>LMO-C (SS)</t>
  </si>
  <si>
    <t>LVO-C (SS)</t>
  </si>
  <si>
    <t>NCA-C (SS)</t>
  </si>
  <si>
    <t>NCM-C (SS)</t>
  </si>
  <si>
    <t>LCO-C (polymer)</t>
  </si>
  <si>
    <t>LFP-Li</t>
  </si>
  <si>
    <t>Sanfélix, Javier; La Rúa, Cristina de; Schmidt, Jannick; Messagie, Maarten; van Mierlo, Joeri. Environmental and Economic Performance of an Li-Ion Battery Pack: A Multiregional Input-Output Approach. S.9</t>
  </si>
  <si>
    <t>g CO2/km</t>
  </si>
  <si>
    <t>Majeau-Bettez, Guillaume; Hawkins, Troy R.; Strømman, Anders Hammer. Life cycle environmental assessment of lithium-ion and nickel metal hydride batteries for plug-in hybrid and battery electric vehicles. S.4551</t>
  </si>
  <si>
    <t>NCM</t>
  </si>
  <si>
    <t>LFP</t>
  </si>
  <si>
    <t>Samaras, Constantine; Meisterling, Kyle. Life Cycle Assessment of Greenhouse Gas Emissions from Plug-in Hybrid Vehicles: Implications for Policy. Supporting Information: Table: S2</t>
  </si>
  <si>
    <t>Conte, F. V. Battery and battery management for hybrid electric vehicles: a review. S.428</t>
  </si>
  <si>
    <t>Hueso, Karina B.; Palomares, Verónica; Armand, Michel; Rojo, Teófilo. Challenges and perspectives on high and intermediate-temperature sodium batteries. S.4083</t>
  </si>
  <si>
    <t>Li-Si</t>
  </si>
  <si>
    <t>Thielmann, A.; Sauer, A.; Wietschel, M. Gesamt-Roadmap Energiespeicher für die Elektromobilität 2030. S.13</t>
  </si>
  <si>
    <t>Row Labels</t>
  </si>
  <si>
    <t>Average of Wert (Ziel)</t>
  </si>
  <si>
    <t>LMO</t>
  </si>
  <si>
    <t>FarhKLang. S.33</t>
  </si>
  <si>
    <t>LCO</t>
  </si>
  <si>
    <t>Cusenza, Maria Anna; Bobba, Silvia; Ardente, Fulvio; Cellura, Maurizio; Di Persio, Franco. Energy and environmental assessment of a traction lithium-ion battery pack for plug-in hybrid electric vehicles. S.643</t>
  </si>
  <si>
    <t>Cusenza, Maria Anna; Bobba, Silvia; Ardente, Fulvio; Cellura, Maurizio; Di Persio, Franco. Energy and environmental assessment of a traction lithium-ion battery pack for plug-in hybrid electric vehicles. Table S2</t>
  </si>
  <si>
    <t>Hammond, Geoffrey P.; Hazeldine, Tom. Indicative energy technology assessment of advanced rechargeable batteries. S.565</t>
  </si>
  <si>
    <t>Peters, Jens F.; Weil, Marcel. Providing a common base for life cycle assessments of Li-Ion batteries. S.710</t>
  </si>
  <si>
    <t>Grand Total</t>
  </si>
  <si>
    <t>neutral</t>
  </si>
  <si>
    <t>Lithium-Ion Batteries  - Overview</t>
  </si>
  <si>
    <t>Research Values</t>
  </si>
  <si>
    <t>PivotCharts - specific energy</t>
  </si>
  <si>
    <t>PivotCharts - production emissions</t>
  </si>
  <si>
    <t>PivotCharts - End-of-Life emissions</t>
  </si>
  <si>
    <t>Research Values of lithium-ion batteries</t>
  </si>
  <si>
    <t>Values used for optimization in kWh/kg: (after interpolation and smoothening)</t>
  </si>
  <si>
    <t>EoL emissions</t>
  </si>
  <si>
    <t>production emissions</t>
  </si>
  <si>
    <t>specific energy</t>
  </si>
  <si>
    <t>kg CO2/kg battery</t>
  </si>
  <si>
    <t>kg CO2/kWh battery</t>
  </si>
  <si>
    <t>Chen, I-Ching; Hamano, Hiroyuki; Iwasaki, Hiroshi; Yamada, Koichi. An Economic-Environmental Analysis of Lithium Ion batterys Based on Process Design and a Manufacturing Equipment Database. S.116</t>
  </si>
  <si>
    <t>Chen, I-Ching; Hamano, Hiroyuki; Iwasaki, Hiroshi; Yamada, Koichi. An Economic-Environmental Analysis of Lithium Ion batterys Based on Process Design and a Manufacturing Equipment Database. S.114</t>
  </si>
  <si>
    <t>nr.</t>
  </si>
  <si>
    <t>Reference</t>
  </si>
  <si>
    <t>publication year</t>
  </si>
  <si>
    <t>chemical component(s)</t>
  </si>
  <si>
    <t>characteristic</t>
  </si>
  <si>
    <t>unit (research)</t>
  </si>
  <si>
    <t>value (research)</t>
  </si>
  <si>
    <t>reference year</t>
  </si>
  <si>
    <t>value (converted)</t>
  </si>
  <si>
    <t>unit (converted)</t>
  </si>
  <si>
    <t>year</t>
  </si>
  <si>
    <t>pessimistic</t>
  </si>
  <si>
    <t>optimistic</t>
  </si>
  <si>
    <t>Values used for optimization in kg CO2/kg battery: (anschließend interpoliert und geglättet)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</si>
</sst>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"/>
    <numFmt numFmtId="168" formatCode="0.000000"/>
  </numFmts>
  <fonts count="7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0" fontId="0" fillId="0" borderId="0" xfId="0" applyNumberFormat="1"/>
    <xf numFmtId="165" fontId="0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2" fontId="0" fillId="0" borderId="0" xfId="0" applyNumberFormat="1"/>
    <xf numFmtId="0" fontId="2" fillId="0" borderId="0" xfId="0" applyFont="1"/>
    <xf numFmtId="0" fontId="0" fillId="0" borderId="0" xfId="0" applyNumberFormat="1" applyFill="1"/>
    <xf numFmtId="0" fontId="0" fillId="0" borderId="0" xfId="0" applyAlignment="1">
      <alignment horizontal="left" indent="2"/>
    </xf>
    <xf numFmtId="0" fontId="0" fillId="4" borderId="0" xfId="0" applyFill="1" applyBorder="1"/>
    <xf numFmtId="0" fontId="3" fillId="4" borderId="0" xfId="0" applyFont="1" applyFill="1" applyBorder="1"/>
    <xf numFmtId="0" fontId="4" fillId="4" borderId="0" xfId="0" applyFont="1" applyFill="1" applyBorder="1"/>
    <xf numFmtId="0" fontId="4" fillId="4" borderId="0" xfId="0" applyFon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5" fillId="4" borderId="0" xfId="0" applyFont="1" applyFill="1" applyBorder="1"/>
    <xf numFmtId="0" fontId="3" fillId="5" borderId="0" xfId="0" applyFont="1" applyFill="1" applyBorder="1"/>
    <xf numFmtId="0" fontId="6" fillId="3" borderId="0" xfId="0" applyFont="1" applyFill="1" applyBorder="1" applyAlignment="1">
      <alignment horizontal="center"/>
    </xf>
    <xf numFmtId="0" fontId="6" fillId="3" borderId="0" xfId="0" applyFont="1" applyFill="1" applyBorder="1"/>
    <xf numFmtId="0" fontId="2" fillId="3" borderId="0" xfId="0" applyFont="1" applyFill="1" applyBorder="1"/>
    <xf numFmtId="0" fontId="2" fillId="4" borderId="0" xfId="0" applyFont="1" applyFill="1" applyBorder="1"/>
    <xf numFmtId="0" fontId="6" fillId="5" borderId="0" xfId="0" applyFont="1" applyFill="1" applyBorder="1" applyAlignment="1">
      <alignment horizontal="center"/>
    </xf>
    <xf numFmtId="0" fontId="6" fillId="5" borderId="0" xfId="0" applyFont="1" applyFill="1" applyBorder="1"/>
    <xf numFmtId="0" fontId="3" fillId="5" borderId="0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0" xfId="0" applyFont="1" applyFill="1" applyBorder="1"/>
    <xf numFmtId="0" fontId="2" fillId="6" borderId="0" xfId="0" applyFont="1" applyFill="1" applyBorder="1"/>
    <xf numFmtId="0" fontId="3" fillId="6" borderId="0" xfId="0" applyFont="1" applyFill="1" applyBorder="1"/>
    <xf numFmtId="0" fontId="6" fillId="7" borderId="0" xfId="0" applyFont="1" applyFill="1" applyBorder="1" applyAlignment="1">
      <alignment horizontal="center"/>
    </xf>
    <xf numFmtId="0" fontId="6" fillId="7" borderId="0" xfId="0" applyFont="1" applyFill="1" applyBorder="1"/>
    <xf numFmtId="0" fontId="3" fillId="7" borderId="0" xfId="0" applyFont="1" applyFill="1" applyBorder="1"/>
    <xf numFmtId="0" fontId="3" fillId="7" borderId="0" xfId="0" applyFont="1" applyFill="1" applyBorder="1" applyAlignment="1">
      <alignment horizontal="center"/>
    </xf>
    <xf numFmtId="0" fontId="0" fillId="4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2" borderId="0" xfId="0" applyFont="1" applyFill="1" applyBorder="1" applyAlignment="1">
      <alignment horizontal="center" wrapText="1"/>
    </xf>
    <xf numFmtId="2" fontId="0" fillId="0" borderId="0" xfId="0" applyNumberFormat="1" applyFill="1"/>
    <xf numFmtId="168" fontId="0" fillId="0" borderId="0" xfId="0" applyNumberFormat="1"/>
  </cellXfs>
  <cellStyles count="1">
    <cellStyle name="Normal" xfId="0" builtinId="0"/>
  </cellStyles>
  <dxfs count="6">
    <dxf>
      <numFmt numFmtId="2" formatCode="0.00"/>
    </dxf>
    <dxf>
      <numFmt numFmtId="2" formatCode="0.00"/>
    </dxf>
    <dxf>
      <numFmt numFmtId="0" formatCode="General"/>
    </dxf>
    <dxf>
      <alignment horizontal="general" vertical="bottom" textRotation="0" wrapText="1" indent="0" justifyLastLine="0" shrinkToFit="0" readingOrder="0"/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[S1 Meta-Analysis of Lithium-Ion Batteries.xlsx]2!PivotTable2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baseline="0">
                <a:effectLst/>
              </a:rPr>
              <a:t>Specific energy of lithium-ion batteries</a:t>
            </a:r>
            <a:endParaRPr lang="de-DE" sz="140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'2'!$B$32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'2'!$A$33:$A$134</c:f>
              <c:multiLvlStrCache>
                <c:ptCount val="45"/>
                <c:lvl>
                  <c:pt idx="0">
                    <c:v>Helmers, Eckard. Electric cars: technical characteristics and environmental impacts. S.4</c:v>
                  </c:pt>
                  <c:pt idx="1">
                    <c:v>Helmers, Eckard. Electric cars: technical characteristics and environmental impacts. S.4</c:v>
                  </c:pt>
                  <c:pt idx="2">
                    <c:v>Helmers, Eckard. Electric cars: technical characteristics and environmental impacts. S.4</c:v>
                  </c:pt>
                  <c:pt idx="3">
                    <c:v>Helmers, Eckard. Electric cars: technical characteristics and environmental impacts. S.4</c:v>
                  </c:pt>
                  <c:pt idx="4">
                    <c:v>Helmers, Eckard. Electric cars: technical characteristics and environmental impacts. S.4</c:v>
                  </c:pt>
                  <c:pt idx="5">
                    <c:v>Helmers, Eckard. Electric cars: technical characteristics and environmental impacts. S.4</c:v>
                  </c:pt>
                  <c:pt idx="6">
                    <c:v>Helmers, Eckard. Electric cars: technical characteristics and environmental impacts. S.4</c:v>
                  </c:pt>
                  <c:pt idx="7">
                    <c:v>Conte, F. V. Battery and battery management for hybrid electric vehicles: a review. S.428</c:v>
                  </c:pt>
                  <c:pt idx="8">
                    <c:v>Conte, F. V. Battery and battery management for hybrid electric vehicles: a review. S.428</c:v>
                  </c:pt>
                  <c:pt idx="9">
                    <c:v>Conte, F. V. Battery and battery management for hybrid electric vehicles: a review. S.428</c:v>
                  </c:pt>
                  <c:pt idx="10">
                    <c:v>Conte, F. V. Battery and battery management for hybrid electric vehicles: a review. S.428</c:v>
                  </c:pt>
                  <c:pt idx="11">
                    <c:v>Justin Amirault, Joshua Chien, Saurabh Garg, et. al. The Electric Vehicle Battery Landscape: Opportunities and Challenges. S.6</c:v>
                  </c:pt>
                  <c:pt idx="12">
                    <c:v>Justin Amirault, Joshua Chien, Saurabh Garg, et. al. The Electric Vehicle Battery Landscape: Opportunities and Challenges. S.7</c:v>
                  </c:pt>
                  <c:pt idx="13">
                    <c:v>Justin Amirault, Joshua Chien, Saurabh Garg, et. al. The Electric Vehicle Battery Landscape: Opportunities and Challenges. S.8</c:v>
                  </c:pt>
                  <c:pt idx="14">
                    <c:v>Hammond, Geoffrey P.; Hazeldine, Tom. Indicative energy technology assessment of advanced rechargeable batteries. S.565</c:v>
                  </c:pt>
                  <c:pt idx="15">
                    <c:v>Hammond, Geoffrey P.; Hazeldine, Tom. Indicative energy technology assessment of advanced rechargeable batteries. S.565</c:v>
                  </c:pt>
                  <c:pt idx="16">
                    <c:v>Kim, Hyung Chul; Wallington, Timothy J.; Arsenault, Renata; Bae, Chulheung; Ahn, Suckwon; Lee, Jaeran. Cradle-to-Gate Emissions from a Commercial Electric Vehicle Li-Ion Battery: A Comparative Analysis. S.2</c:v>
                  </c:pt>
                  <c:pt idx="17">
                    <c:v>Kim, Hyung Chul; Wallington, Timothy J.; Arsenault, Renata; Bae, Chulheung; Ahn, Suckwon; Lee, Jaeran. Cradle-to-Gate Emissions from a Commercial Electric Vehicle Li-Ion Battery: A Comparative Analysis. S.2</c:v>
                  </c:pt>
                  <c:pt idx="18">
                    <c:v>Kim, Hyung Chul; Wallington, Timothy J.; Arsenault, Renata; Bae, Chulheung; Ahn, Suckwon; Lee, Jaeran. Cradle-to-Gate Emissions from a Commercial Electric Vehicle Li-Ion Battery: A Comparative Analysis. S.2</c:v>
                  </c:pt>
                  <c:pt idx="19">
                    <c:v>Kim, Hyung Chul; Wallington, Timothy J.; Arsenault, Renata; Bae, Chulheung; Ahn, Suckwon; Lee, Jaeran. Cradle-to-Gate Emissions from a Commercial Electric Vehicle Li-Ion Battery: A Comparative Analysis. S.2</c:v>
                  </c:pt>
                  <c:pt idx="20">
                    <c:v>Kim, Hyung Chul; Wallington, Timothy J.; Arsenault, Renata; Bae, Chulheung; Ahn, Suckwon; Lee, Jaeran. Cradle-to-Gate Emissions from a Commercial Electric Vehicle Li-Ion Battery: A Comparative Analysis. S.2</c:v>
                  </c:pt>
                  <c:pt idx="21">
                    <c:v>Hueso, Karina B.; Palomares, Verónica; Armand, Michel; Rojo, Teófilo. Challenges and perspectives on high and intermediate-temperature sodium batteries. S.4083</c:v>
                  </c:pt>
                  <c:pt idx="22">
                    <c:v>Deng, Yelin; Li, Jianyang; Li, Tonghui; Zhang, Jingyi; Yang, Fan; Yuan, Chris. Life cycle assessment of high capacity molybdenum disulfide lithium-ion battery for electric vehicles. Table S13</c:v>
                  </c:pt>
                  <c:pt idx="23">
                    <c:v>Deng, Yelin; Li, Jianyang; Li, Tonghui; Gao, Xianfeng; Yuan, Chris. Life cycle assessment of lithium sulfur battery for electric vehicles. Supplementary Data Appendix: Table S26.</c:v>
                  </c:pt>
                  <c:pt idx="24">
                    <c:v>Deng, Yelin; Li, Jianyang; Li, Tonghui; Zhang, Jingyi; Yang, Fan; Yuan, Chris. Life cycle assessment of high capacity molybdenum disulfide lithium-ion battery for electric vehicles. Table S13</c:v>
                  </c:pt>
                  <c:pt idx="25">
                    <c:v>Hueso, Karina B.; Palomares, Verónica; Armand, Michel; Rojo, Teófilo. Challenges and perspectives on high and intermediate-temperature sodium batteries. S.4083</c:v>
                  </c:pt>
                  <c:pt idx="26">
                    <c:v>Hueso, Karina B.; Palomares, Verónica; Armand, Michel; Rojo, Teófilo. Challenges and perspectives on high and intermediate-temperature sodium batteries. S.4083</c:v>
                  </c:pt>
                  <c:pt idx="27">
                    <c:v>Deng, Yelin; Li, Jianyang; Li, Tonghui; Gao, Xianfeng; Yuan, Chris. Life cycle assessment of lithium sulfur battery for electric vehicles. Supplementary Data Appendix: Table S26.</c:v>
                  </c:pt>
                  <c:pt idx="28">
                    <c:v>Hueso, Karina B.; Palomares, Verónica; Armand, Michel; Rojo, Teófilo. Challenges and perspectives on high and intermediate-temperature sodium batteries. S.4083</c:v>
                  </c:pt>
                  <c:pt idx="29">
                    <c:v>Hueso, Karina B.; Palomares, Verónica; Armand, Michel; Rojo, Teófilo. Challenges and perspectives on high and intermediate-temperature sodium batteries. S.4083</c:v>
                  </c:pt>
                  <c:pt idx="30">
                    <c:v>Hueso, Karina B.; Palomares, Verónica; Armand, Michel; Rojo, Teófilo. Challenges and perspectives on high and intermediate-temperature sodium batteries. S.4083</c:v>
                  </c:pt>
                  <c:pt idx="31">
                    <c:v>Hueso, Karina B.; Palomares, Verónica; Armand, Michel; Rojo, Teófilo. Challenges and perspectives on high and intermediate-temperature sodium batteries. S.4083</c:v>
                  </c:pt>
                  <c:pt idx="32">
                    <c:v>Berg, Helena; Zackrisson, Mats. Perspectives on environmental and cost assessment of lithium metal negative electrodes in electric vehicle traction batteries. S.87</c:v>
                  </c:pt>
                  <c:pt idx="33">
                    <c:v>Chen, I-Ching; Hamano, Hiroyuki; Iwasaki, Hiroshi; Yamada, Koichi. An Economic-Environmental Analysis of Lithium Ion batterys Based on Process Design and a Manufacturing Equipment Database. S.114</c:v>
                  </c:pt>
                  <c:pt idx="34">
                    <c:v>Berg, Helena; Zackrisson, Mats. Perspectives on environmental and cost assessment of lithium metal negative electrodes in electric vehicle traction batteries. S.87</c:v>
                  </c:pt>
                  <c:pt idx="35">
                    <c:v>Deng, Yelin; Ma, Lulu; Li, Tonghui; Li, Jianyang; Yuan, Chris. Life Cycle Assessment of Silicon-Nanotube-Based Lithium Ion Battery for Electric Vehicles. S.</c:v>
                  </c:pt>
                  <c:pt idx="36">
                    <c:v>Chen, I-Ching; Hamano, Hiroyuki; Iwasaki, Hiroshi; Yamada, Koichi. An Economic-Environmental Analysis of Lithium Ion batterys Based on Process Design and a Manufacturing Equipment Database. S.114</c:v>
                  </c:pt>
                  <c:pt idx="37">
                    <c:v>Deng, Yelin; Ma, Lulu; Li, Tonghui; Li, Jianyang; Yuan, Chris. Life Cycle Assessment of Silicon-Nanotube-Based Lithium Ion Battery for Electric Vehicles. S.</c:v>
                  </c:pt>
                  <c:pt idx="38">
                    <c:v>Chen, I-Ching; Hamano, Hiroyuki; Iwasaki, Hiroshi; Yamada, Koichi. An Economic-Environmental Analysis of Lithium Ion batterys Based on Process Design and a Manufacturing Equipment Database. S.114</c:v>
                  </c:pt>
                  <c:pt idx="39">
                    <c:v>Chen, I-Ching; Hamano, Hiroyuki; Iwasaki, Hiroshi; Yamada, Koichi. An Economic-Environmental Analysis of Lithium Ion batterys Based on Process Design and a Manufacturing Equipment Database. S.114</c:v>
                  </c:pt>
                  <c:pt idx="40">
                    <c:v>Thielmann, A.; Sauer, A.; Wietschel, M. Gesamt-Roadmap Energiespeicher für die Elektromobilität 2030. S.13</c:v>
                  </c:pt>
                  <c:pt idx="41">
                    <c:v>Chen, I-Ching; Hamano, Hiroyuki; Iwasaki, Hiroshi; Yamada, Koichi. An Economic-Environmental Analysis of Lithium Ion batterys Based on Process Design and a Manufacturing Equipment Database. S.114</c:v>
                  </c:pt>
                  <c:pt idx="42">
                    <c:v>Chen, I-Ching; Hamano, Hiroyuki; Iwasaki, Hiroshi; Yamada, Koichi. An Economic-Environmental Analysis of Lithium Ion batterys Based on Process Design and a Manufacturing Equipment Database. S.114</c:v>
                  </c:pt>
                  <c:pt idx="43">
                    <c:v>Thielmann, A.; Sauer, A.; Wietschel, M. Gesamt-Roadmap Energiespeicher für die Elektromobilität 2030. S.13</c:v>
                  </c:pt>
                  <c:pt idx="44">
                    <c:v>Thielmann, A.; Sauer, A.; Wietschel, M. Gesamt-Roadmap Energiespeicher für die Elektromobilität 2030. S.13</c:v>
                  </c:pt>
                </c:lvl>
                <c:lvl>
                  <c:pt idx="0">
                    <c:v>77</c:v>
                  </c:pt>
                  <c:pt idx="1">
                    <c:v>78</c:v>
                  </c:pt>
                  <c:pt idx="2">
                    <c:v>79</c:v>
                  </c:pt>
                  <c:pt idx="3">
                    <c:v>80</c:v>
                  </c:pt>
                  <c:pt idx="4">
                    <c:v>81</c:v>
                  </c:pt>
                  <c:pt idx="5">
                    <c:v>82</c:v>
                  </c:pt>
                  <c:pt idx="6">
                    <c:v>83</c:v>
                  </c:pt>
                  <c:pt idx="7">
                    <c:v>84</c:v>
                  </c:pt>
                  <c:pt idx="8">
                    <c:v>85</c:v>
                  </c:pt>
                  <c:pt idx="9">
                    <c:v>86</c:v>
                  </c:pt>
                  <c:pt idx="10">
                    <c:v>87</c:v>
                  </c:pt>
                  <c:pt idx="11">
                    <c:v>88</c:v>
                  </c:pt>
                  <c:pt idx="12">
                    <c:v>89</c:v>
                  </c:pt>
                  <c:pt idx="13">
                    <c:v>90</c:v>
                  </c:pt>
                  <c:pt idx="14">
                    <c:v>91</c:v>
                  </c:pt>
                  <c:pt idx="15">
                    <c:v>92</c:v>
                  </c:pt>
                  <c:pt idx="16">
                    <c:v>93</c:v>
                  </c:pt>
                  <c:pt idx="17">
                    <c:v>94</c:v>
                  </c:pt>
                  <c:pt idx="18">
                    <c:v>95</c:v>
                  </c:pt>
                  <c:pt idx="19">
                    <c:v>96</c:v>
                  </c:pt>
                  <c:pt idx="20">
                    <c:v>97</c:v>
                  </c:pt>
                  <c:pt idx="21">
                    <c:v>98</c:v>
                  </c:pt>
                  <c:pt idx="22">
                    <c:v>99</c:v>
                  </c:pt>
                  <c:pt idx="23">
                    <c:v>100</c:v>
                  </c:pt>
                  <c:pt idx="24">
                    <c:v>101</c:v>
                  </c:pt>
                  <c:pt idx="25">
                    <c:v>102</c:v>
                  </c:pt>
                  <c:pt idx="26">
                    <c:v>103</c:v>
                  </c:pt>
                  <c:pt idx="27">
                    <c:v>104</c:v>
                  </c:pt>
                  <c:pt idx="28">
                    <c:v>105</c:v>
                  </c:pt>
                  <c:pt idx="29">
                    <c:v>106</c:v>
                  </c:pt>
                  <c:pt idx="30">
                    <c:v>117</c:v>
                  </c:pt>
                  <c:pt idx="31">
                    <c:v>119</c:v>
                  </c:pt>
                  <c:pt idx="32">
                    <c:v>107</c:v>
                  </c:pt>
                  <c:pt idx="33">
                    <c:v>108</c:v>
                  </c:pt>
                  <c:pt idx="34">
                    <c:v>109</c:v>
                  </c:pt>
                  <c:pt idx="35">
                    <c:v>110</c:v>
                  </c:pt>
                  <c:pt idx="36">
                    <c:v>111</c:v>
                  </c:pt>
                  <c:pt idx="37">
                    <c:v>112</c:v>
                  </c:pt>
                  <c:pt idx="38">
                    <c:v>113</c:v>
                  </c:pt>
                  <c:pt idx="39">
                    <c:v>114</c:v>
                  </c:pt>
                  <c:pt idx="40">
                    <c:v>115</c:v>
                  </c:pt>
                  <c:pt idx="41">
                    <c:v>116</c:v>
                  </c:pt>
                  <c:pt idx="42">
                    <c:v>118</c:v>
                  </c:pt>
                  <c:pt idx="43">
                    <c:v>120</c:v>
                  </c:pt>
                  <c:pt idx="44">
                    <c:v>121</c:v>
                  </c:pt>
                </c:lvl>
                <c:lvl>
                  <c:pt idx="0">
                    <c:v>1998</c:v>
                  </c:pt>
                  <c:pt idx="7">
                    <c:v>2006</c:v>
                  </c:pt>
                  <c:pt idx="11">
                    <c:v>2009</c:v>
                  </c:pt>
                  <c:pt idx="14">
                    <c:v>2015</c:v>
                  </c:pt>
                  <c:pt idx="16">
                    <c:v>2016</c:v>
                  </c:pt>
                  <c:pt idx="21">
                    <c:v>2017</c:v>
                  </c:pt>
                  <c:pt idx="32">
                    <c:v>2019</c:v>
                  </c:pt>
                  <c:pt idx="40">
                    <c:v>2020</c:v>
                  </c:pt>
                  <c:pt idx="41">
                    <c:v>2025</c:v>
                  </c:pt>
                  <c:pt idx="43">
                    <c:v>2030</c:v>
                  </c:pt>
                  <c:pt idx="44">
                    <c:v>2040</c:v>
                  </c:pt>
                </c:lvl>
              </c:multiLvlStrCache>
            </c:multiLvlStrRef>
          </c:cat>
          <c:val>
            <c:numRef>
              <c:f>'2'!$B$33:$B$134</c:f>
              <c:numCache>
                <c:formatCode>General</c:formatCode>
                <c:ptCount val="45"/>
                <c:pt idx="0">
                  <c:v>0.05</c:v>
                </c:pt>
                <c:pt idx="1">
                  <c:v>8.5000000000000006E-2</c:v>
                </c:pt>
                <c:pt idx="2">
                  <c:v>0.12</c:v>
                </c:pt>
                <c:pt idx="3">
                  <c:v>0.12</c:v>
                </c:pt>
                <c:pt idx="4">
                  <c:v>0.15</c:v>
                </c:pt>
                <c:pt idx="5">
                  <c:v>0.15</c:v>
                </c:pt>
                <c:pt idx="6">
                  <c:v>0.16</c:v>
                </c:pt>
                <c:pt idx="7">
                  <c:v>5.0000000000000001E-3</c:v>
                </c:pt>
                <c:pt idx="8">
                  <c:v>0.02</c:v>
                </c:pt>
                <c:pt idx="9">
                  <c:v>0.1</c:v>
                </c:pt>
                <c:pt idx="10">
                  <c:v>0.2</c:v>
                </c:pt>
                <c:pt idx="11">
                  <c:v>0.08</c:v>
                </c:pt>
                <c:pt idx="12">
                  <c:v>0.108</c:v>
                </c:pt>
                <c:pt idx="13">
                  <c:v>0.17499999999999999</c:v>
                </c:pt>
                <c:pt idx="14">
                  <c:v>8.5000000000000006E-2</c:v>
                </c:pt>
                <c:pt idx="15">
                  <c:v>0.115</c:v>
                </c:pt>
                <c:pt idx="16">
                  <c:v>0.08</c:v>
                </c:pt>
                <c:pt idx="17">
                  <c:v>0.11</c:v>
                </c:pt>
                <c:pt idx="18">
                  <c:v>0.112</c:v>
                </c:pt>
                <c:pt idx="19">
                  <c:v>0.114</c:v>
                </c:pt>
                <c:pt idx="20">
                  <c:v>0.13</c:v>
                </c:pt>
                <c:pt idx="21">
                  <c:v>0.06</c:v>
                </c:pt>
                <c:pt idx="22">
                  <c:v>0.105</c:v>
                </c:pt>
                <c:pt idx="23">
                  <c:v>0.12</c:v>
                </c:pt>
                <c:pt idx="24">
                  <c:v>0.13</c:v>
                </c:pt>
                <c:pt idx="25">
                  <c:v>0.13</c:v>
                </c:pt>
                <c:pt idx="26">
                  <c:v>0.2</c:v>
                </c:pt>
                <c:pt idx="27">
                  <c:v>0.22</c:v>
                </c:pt>
                <c:pt idx="28">
                  <c:v>0.25</c:v>
                </c:pt>
                <c:pt idx="29">
                  <c:v>0.25</c:v>
                </c:pt>
                <c:pt idx="30">
                  <c:v>0.4</c:v>
                </c:pt>
                <c:pt idx="31">
                  <c:v>0.5</c:v>
                </c:pt>
                <c:pt idx="32">
                  <c:v>8.2000000000000003E-2</c:v>
                </c:pt>
                <c:pt idx="33">
                  <c:v>0.125</c:v>
                </c:pt>
                <c:pt idx="34">
                  <c:v>0.13800000000000001</c:v>
                </c:pt>
                <c:pt idx="35">
                  <c:v>0.16</c:v>
                </c:pt>
                <c:pt idx="36">
                  <c:v>0.18</c:v>
                </c:pt>
                <c:pt idx="37">
                  <c:v>0.19900000000000001</c:v>
                </c:pt>
                <c:pt idx="38">
                  <c:v>0.2</c:v>
                </c:pt>
                <c:pt idx="39">
                  <c:v>0.25</c:v>
                </c:pt>
                <c:pt idx="40">
                  <c:v>0.25</c:v>
                </c:pt>
                <c:pt idx="41">
                  <c:v>0.31</c:v>
                </c:pt>
                <c:pt idx="42">
                  <c:v>0.46</c:v>
                </c:pt>
                <c:pt idx="43">
                  <c:v>0.5</c:v>
                </c:pt>
                <c:pt idx="44">
                  <c:v>0.7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90883040"/>
        <c:axId val="2090884128"/>
      </c:barChart>
      <c:catAx>
        <c:axId val="209088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90884128"/>
        <c:crosses val="autoZero"/>
        <c:auto val="1"/>
        <c:lblAlgn val="ctr"/>
        <c:lblOffset val="100"/>
        <c:noMultiLvlLbl val="0"/>
      </c:catAx>
      <c:valAx>
        <c:axId val="209088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Specific</a:t>
                </a:r>
                <a:r>
                  <a:rPr lang="de-DE" baseline="0"/>
                  <a:t> energy </a:t>
                </a:r>
                <a:r>
                  <a:rPr lang="de-DE"/>
                  <a:t>in kWh/kg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9088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[S1 Meta-Analysis of Lithium-Ion Batteries.xlsx]3!PivotTable1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production emissions of </a:t>
            </a:r>
            <a:r>
              <a:rPr lang="de-DE" sz="1400" b="0" i="0" u="none" strike="noStrike" baseline="0">
                <a:effectLst/>
              </a:rPr>
              <a:t>lithium-ion batteries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layout/>
          <c:numFmt formatCode="#,##0.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'3'!$B$32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'3'!$A$33:$A$183</c:f>
              <c:multiLvlStrCache>
                <c:ptCount val="67"/>
                <c:lvl>
                  <c:pt idx="0">
                    <c:v>Helmers, Eckard. Electric cars: technical characteristics and environmental impacts. S.10</c:v>
                  </c:pt>
                  <c:pt idx="1">
                    <c:v>Helmers, Eckard. Electric cars: technical characteristics and environmental impacts. S.10</c:v>
                  </c:pt>
                  <c:pt idx="2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3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4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5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6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7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8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9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10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11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12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13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14">
                    <c:v>Samaras, Constantine; Meisterling, Kyle. Life Cycle Assessment of Greenhouse Gas Emissions from Plug-in Hybrid Vehicles: Implications for Policy. Supporting Information: Table: S2</c:v>
                  </c:pt>
                  <c:pt idx="15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16">
                    <c:v>Dominic A. Notter; Marcel Gauch; Rolf Widmer; Patrick Wäger; Anna Stamp; Rainer Zah; Hans-Jörg Althaus. Contribution of Li-ion batteries to the environmental  impact of electric vehicles. S.39</c:v>
                  </c:pt>
                  <c:pt idx="17">
                    <c:v>Helmers, Eckard. Electric cars: technical characteristics and environmental impacts. S.10</c:v>
                  </c:pt>
                  <c:pt idx="18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19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20">
                    <c:v>Peters, Jens F.; Weil, Marcel. Providing a common base for life cycle assessments of Li-Ion batteries. S.710</c:v>
                  </c:pt>
                  <c:pt idx="21">
                    <c:v>Peters, Jens F.; Weil, Marcel. Providing a common base for life cycle assessments of Li-Ion batteries. S.710</c:v>
                  </c:pt>
                  <c:pt idx="22">
                    <c:v>Peters, Jens F.; Weil, Marcel. Providing a common base for life cycle assessments of Li-Ion batteries. S.710</c:v>
                  </c:pt>
                  <c:pt idx="23">
                    <c:v>Peters, Jens F.; Weil, Marcel. Providing a common base for life cycle assessments of Li-Ion batteries. S.710</c:v>
                  </c:pt>
                  <c:pt idx="24">
                    <c:v>Zackrisson, Mats; Avellán, Lars; Orlenius, Jessica. Life cycle assessment of lithium-ion batteries for plug-in hybrid electric vehicles – Critical issues. S.1524</c:v>
                  </c:pt>
                  <c:pt idx="25">
                    <c:v>Helmers, Eckard. Electric cars: technical characteristics and environmental impacts. S.10</c:v>
                  </c:pt>
                  <c:pt idx="26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27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28">
                    <c:v>Peters, Jens F.; Weil, Marcel. Providing a common base for life cycle assessments of Li-Ion batteries. S.710</c:v>
                  </c:pt>
                  <c:pt idx="29">
                    <c:v>Peters, Jens F.; Weil, Marcel. Providing a common base for life cycle assessments of Li-Ion batteries. S.710</c:v>
                  </c:pt>
                  <c:pt idx="30">
                    <c:v>Helmers, Eckard. Electric cars: technical characteristics and environmental impacts. S.10</c:v>
                  </c:pt>
                  <c:pt idx="31">
                    <c:v>Majeau-Bettez, Guillaume; Hawkins, Troy R.; Strømman, Anders Hammer. Life cycle environmental assessment of lithium-ion and nickel metal hydride batteries for plug-in hybrid and battery electric vehicles. S.4551</c:v>
                  </c:pt>
                  <c:pt idx="32">
                    <c:v>Majeau-Bettez, Guillaume; Hawkins, Troy R.; Strømman, Anders Hammer. Life cycle environmental assessment of lithium-ion and nickel metal hydride batteries for plug-in hybrid and battery electric vehicles. S.4551</c:v>
                  </c:pt>
                  <c:pt idx="33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34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35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36">
                    <c:v>Peters, Jens F.; Weil, Marcel. Providing a common base for life cycle assessments of Li-Ion batteries. S.710</c:v>
                  </c:pt>
                  <c:pt idx="37">
                    <c:v>Ellingsen, Linda Ager‐Wick; Majeau‐Bettez, Guillaume; Singh, Bhawna; Srivastava, Akhilesh Kumar; Valøen, Lars Ole; Strømman, Anders Hammer. Life Cycle Assessment of a Lithium‐Ion Battery Vehicle Pack. S.118</c:v>
                  </c:pt>
                  <c:pt idx="38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39">
                    <c:v>Ellingsen, Linda Ager‐Wick; Majeau‐Bettez, Guillaume; Singh, Bhawna; Srivastava, Akhilesh Kumar; Valøen, Lars Ole; Strømman, Anders Hammer. Life Cycle Assessment of a Lithium‐Ion Battery Vehicle Pack. S.118</c:v>
                  </c:pt>
                  <c:pt idx="40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41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42">
                    <c:v>Kim, Hyung Chul; Wallington, Timothy J.; Arsenault, Renata; Bae, Chulheung; Ahn, Suckwon; Lee, Jaeran. Cradle-to-Gate Emissions from a Commercial Electric Vehicle Li-Ion Battery: A Comparative Analysis. S.2</c:v>
                  </c:pt>
                  <c:pt idx="43">
                    <c:v>Kim, Hyung Chul; Wallington, Timothy J.; Arsenault, Renata; Bae, Chulheung; Ahn, Suckwon; Lee, Jaeran. Cradle-to-Gate Emissions from a Commercial Electric Vehicle Li-Ion Battery: A Comparative Analysis. S.2</c:v>
                  </c:pt>
                  <c:pt idx="44">
                    <c:v>Kim, Hyung Chul; Wallington, Timothy J.; Arsenault, Renata; Bae, Chulheung; Ahn, Suckwon; Lee, Jaeran. Cradle-to-Gate Emissions from a Commercial Electric Vehicle Li-Ion Battery: A Comparative Analysis. S.2</c:v>
                  </c:pt>
                  <c:pt idx="45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46">
                    <c:v>Kim, Hyung Chul; Wallington, Timothy J.; Arsenault, Renata; Bae, Chulheung; Ahn, Suckwon; Lee, Jaeran. Cradle-to-Gate Emissions from a Commercial Electric Vehicle Li-Ion Battery: A Comparative Analysis. S.2</c:v>
                  </c:pt>
                  <c:pt idx="47">
                    <c:v>Sanfélix, Javier; La Rúa, Cristina de; Schmidt, Jannick; Messagie, Maarten; van Mierlo, Joeri. Environmental and Economic Performance of an Li-Ion Battery Pack: A Multiregional Input-Output Approach. S.9</c:v>
                  </c:pt>
                  <c:pt idx="48">
                    <c:v>Kim, Hyung Chul; Wallington, Timothy J.; Arsenault, Renata; Bae, Chulheung; Ahn, Suckwon; Lee, Jaeran. Cradle-to-Gate Emissions from a Commercial Electric Vehicle Li-Ion Battery: A Comparative Analysis. S.2</c:v>
                  </c:pt>
                  <c:pt idx="49">
                    <c:v>Jens F. Peters; Manuel Baumann; Benedikt Zimmermann; Jessica Braun; Marcel Weil. The environmental impact of Li-Ion batteries and the role of key parameters – A review. Supplementary data.</c:v>
                  </c:pt>
                  <c:pt idx="50">
                    <c:v>Wang, Yuqi; Yu, Yajuan; Huang, Kai; Chen, Bo; Deng, Wensheng; Yao, Ying. Quantifying the environmental impact of a Li-rich high-capacity cathode material in electric vehicles via life cycle assessment. S.1258</c:v>
                  </c:pt>
                  <c:pt idx="51">
                    <c:v>Deng, Yelin; Li, Jianyang; Li, Tonghui; Zhang, Jingyi; Yang, Fan; Yuan, Chris. Life cycle assessment of high capacity molybdenum disulfide lithium-ion battery for electric vehicles. Table S13</c:v>
                  </c:pt>
                  <c:pt idx="52">
                    <c:v>Deng, Yelin; Li, Jianyang; Li, Tonghui; Gao, Xianfeng; Yuan, Chris. Life cycle assessment of lithium sulfur battery for electric vehicles. Supplementary Data Appendix: Table S26.</c:v>
                  </c:pt>
                  <c:pt idx="53">
                    <c:v>Deng, Yelin; Li, Jianyang; Li, Tonghui; Zhang, Jingyi; Yang, Fan; Yuan, Chris. Life cycle assessment of high capacity molybdenum disulfide lithium-ion battery for electric vehicles. Table S13</c:v>
                  </c:pt>
                  <c:pt idx="54">
                    <c:v>Deng, Yelin; Li, Jianyang; Li, Tonghui; Gao, Xianfeng; Yuan, Chris. Life cycle assessment of lithium sulfur battery for electric vehicles. Supplementary Data Appendix: Table S26.</c:v>
                  </c:pt>
                  <c:pt idx="55">
                    <c:v>Wu, Zheshan; Kong, Defei. Comparative life cycle assessment of lithium-ion batteries with lithium metal, silicon nanowire, and graphite anodes. S.1238</c:v>
                  </c:pt>
                  <c:pt idx="56">
                    <c:v>Wu, Zheshan; Kong, Defei. Comparative life cycle assessment of lithium-ion batteries with lithium metal, silicon nanowire, and graphite anodes. S.1238</c:v>
                  </c:pt>
                  <c:pt idx="57">
                    <c:v>Wu, Zheshan; Kong, Defei. Comparative life cycle assessment of lithium-ion batteries with lithium metal, silicon nanowire, and graphite anodes. S.1238</c:v>
                  </c:pt>
                  <c:pt idx="58">
                    <c:v>Chen, I-Ching; Hamano, Hiroyuki; Iwasaki, Hiroshi; Yamada, Koichi. An Economic-Environmental Analysis of Lithium Ion batterys Based on Process Design and a Manufacturing Equipment Database. S.116</c:v>
                  </c:pt>
                  <c:pt idx="59">
                    <c:v>Cusenza, Maria Anna; Bobba, Silvia; Ardente, Fulvio; Cellura, Maurizio; Di Persio, Franco. Energy and environmental assessment of a traction lithium-ion battery pack for plug-in hybrid electric vehicles. S.643</c:v>
                  </c:pt>
                  <c:pt idx="60">
                    <c:v>Deng, Yelin; Ma, Lulu; Li, Tonghui; Li, Jianyang; Yuan, Chris. Life Cycle Assessment of Silicon-Nanotube-Based Lithium Ion Battery for Electric Vehicles. S.</c:v>
                  </c:pt>
                  <c:pt idx="61">
                    <c:v>Chen, I-Ching; Hamano, Hiroyuki; Iwasaki, Hiroshi; Yamada, Koichi. An Economic-Environmental Analysis of Lithium Ion batterys Based on Process Design and a Manufacturing Equipment Database. S.116</c:v>
                  </c:pt>
                  <c:pt idx="62">
                    <c:v>Chen, I-Ching; Hamano, Hiroyuki; Iwasaki, Hiroshi; Yamada, Koichi. An Economic-Environmental Analysis of Lithium Ion batterys Based on Process Design and a Manufacturing Equipment Database. S.116</c:v>
                  </c:pt>
                  <c:pt idx="63">
                    <c:v>Deng, Yelin; Ma, Lulu; Li, Tonghui; Li, Jianyang; Yuan, Chris. Life Cycle Assessment of Silicon-Nanotube-Based Lithium Ion Battery for Electric Vehicles. S.</c:v>
                  </c:pt>
                  <c:pt idx="64">
                    <c:v>Chen, I-Ching; Hamano, Hiroyuki; Iwasaki, Hiroshi; Yamada, Koichi. An Economic-Environmental Analysis of Lithium Ion batterys Based on Process Design and a Manufacturing Equipment Database. S.116</c:v>
                  </c:pt>
                  <c:pt idx="65">
                    <c:v>Chen, I-Ching; Hamano, Hiroyuki; Iwasaki, Hiroshi; Yamada, Koichi. An Economic-Environmental Analysis of Lithium Ion batterys Based on Process Design and a Manufacturing Equipment Database. S.116</c:v>
                  </c:pt>
                  <c:pt idx="66">
                    <c:v>Chen, I-Ching; Hamano, Hiroyuki; Iwasaki, Hiroshi; Yamada, Koichi. An Economic-Environmental Analysis of Lithium Ion batterys Based on Process Design and a Manufacturing Equipment Database. S.116</c:v>
                  </c:pt>
                </c:lvl>
                <c:lvl>
                  <c:pt idx="0">
                    <c:v>10</c:v>
                  </c:pt>
                  <c:pt idx="1">
                    <c:v>11</c:v>
                  </c:pt>
                  <c:pt idx="2">
                    <c:v>12</c:v>
                  </c:pt>
                  <c:pt idx="3">
                    <c:v>13</c:v>
                  </c:pt>
                  <c:pt idx="4">
                    <c:v>14</c:v>
                  </c:pt>
                  <c:pt idx="5">
                    <c:v>15</c:v>
                  </c:pt>
                  <c:pt idx="6">
                    <c:v>16</c:v>
                  </c:pt>
                  <c:pt idx="7">
                    <c:v>17</c:v>
                  </c:pt>
                  <c:pt idx="8">
                    <c:v>18</c:v>
                  </c:pt>
                  <c:pt idx="9">
                    <c:v>19</c:v>
                  </c:pt>
                  <c:pt idx="10">
                    <c:v>20</c:v>
                  </c:pt>
                  <c:pt idx="11">
                    <c:v>21</c:v>
                  </c:pt>
                  <c:pt idx="12">
                    <c:v>22</c:v>
                  </c:pt>
                  <c:pt idx="13">
                    <c:v>23</c:v>
                  </c:pt>
                  <c:pt idx="14">
                    <c:v>24</c:v>
                  </c:pt>
                  <c:pt idx="15">
                    <c:v>25</c:v>
                  </c:pt>
                  <c:pt idx="16">
                    <c:v>26</c:v>
                  </c:pt>
                  <c:pt idx="17">
                    <c:v>27</c:v>
                  </c:pt>
                  <c:pt idx="18">
                    <c:v>28</c:v>
                  </c:pt>
                  <c:pt idx="19">
                    <c:v>29</c:v>
                  </c:pt>
                  <c:pt idx="20">
                    <c:v>30</c:v>
                  </c:pt>
                  <c:pt idx="21">
                    <c:v>31</c:v>
                  </c:pt>
                  <c:pt idx="22">
                    <c:v>32</c:v>
                  </c:pt>
                  <c:pt idx="23">
                    <c:v>33</c:v>
                  </c:pt>
                  <c:pt idx="24">
                    <c:v>34</c:v>
                  </c:pt>
                  <c:pt idx="25">
                    <c:v>35</c:v>
                  </c:pt>
                  <c:pt idx="26">
                    <c:v>36</c:v>
                  </c:pt>
                  <c:pt idx="27">
                    <c:v>37</c:v>
                  </c:pt>
                  <c:pt idx="28">
                    <c:v>38</c:v>
                  </c:pt>
                  <c:pt idx="29">
                    <c:v>39</c:v>
                  </c:pt>
                  <c:pt idx="30">
                    <c:v>40</c:v>
                  </c:pt>
                  <c:pt idx="31">
                    <c:v>41</c:v>
                  </c:pt>
                  <c:pt idx="32">
                    <c:v>42</c:v>
                  </c:pt>
                  <c:pt idx="33">
                    <c:v>43</c:v>
                  </c:pt>
                  <c:pt idx="34">
                    <c:v>44</c:v>
                  </c:pt>
                  <c:pt idx="35">
                    <c:v>45</c:v>
                  </c:pt>
                  <c:pt idx="36">
                    <c:v>46</c:v>
                  </c:pt>
                  <c:pt idx="37">
                    <c:v>47</c:v>
                  </c:pt>
                  <c:pt idx="38">
                    <c:v>48</c:v>
                  </c:pt>
                  <c:pt idx="39">
                    <c:v>49</c:v>
                  </c:pt>
                  <c:pt idx="40">
                    <c:v>50</c:v>
                  </c:pt>
                  <c:pt idx="41">
                    <c:v>51</c:v>
                  </c:pt>
                  <c:pt idx="42">
                    <c:v>52</c:v>
                  </c:pt>
                  <c:pt idx="43">
                    <c:v>53</c:v>
                  </c:pt>
                  <c:pt idx="44">
                    <c:v>54</c:v>
                  </c:pt>
                  <c:pt idx="45">
                    <c:v>55</c:v>
                  </c:pt>
                  <c:pt idx="46">
                    <c:v>56</c:v>
                  </c:pt>
                  <c:pt idx="47">
                    <c:v>57</c:v>
                  </c:pt>
                  <c:pt idx="48">
                    <c:v>58</c:v>
                  </c:pt>
                  <c:pt idx="49">
                    <c:v>59</c:v>
                  </c:pt>
                  <c:pt idx="50">
                    <c:v>60</c:v>
                  </c:pt>
                  <c:pt idx="51">
                    <c:v>61</c:v>
                  </c:pt>
                  <c:pt idx="52">
                    <c:v>62</c:v>
                  </c:pt>
                  <c:pt idx="53">
                    <c:v>63</c:v>
                  </c:pt>
                  <c:pt idx="54">
                    <c:v>64</c:v>
                  </c:pt>
                  <c:pt idx="55">
                    <c:v>65</c:v>
                  </c:pt>
                  <c:pt idx="56">
                    <c:v>66</c:v>
                  </c:pt>
                  <c:pt idx="57">
                    <c:v>67</c:v>
                  </c:pt>
                  <c:pt idx="58">
                    <c:v>68</c:v>
                  </c:pt>
                  <c:pt idx="59">
                    <c:v>69</c:v>
                  </c:pt>
                  <c:pt idx="60">
                    <c:v>70</c:v>
                  </c:pt>
                  <c:pt idx="61">
                    <c:v>71</c:v>
                  </c:pt>
                  <c:pt idx="62">
                    <c:v>72</c:v>
                  </c:pt>
                  <c:pt idx="63">
                    <c:v>73</c:v>
                  </c:pt>
                  <c:pt idx="64">
                    <c:v>74</c:v>
                  </c:pt>
                  <c:pt idx="65">
                    <c:v>75</c:v>
                  </c:pt>
                  <c:pt idx="66">
                    <c:v>76</c:v>
                  </c:pt>
                </c:lvl>
                <c:lvl>
                  <c:pt idx="0">
                    <c:v>2002</c:v>
                  </c:pt>
                  <c:pt idx="2">
                    <c:v>2004</c:v>
                  </c:pt>
                  <c:pt idx="11">
                    <c:v>2007</c:v>
                  </c:pt>
                  <c:pt idx="13">
                    <c:v>2008</c:v>
                  </c:pt>
                  <c:pt idx="15">
                    <c:v>2009</c:v>
                  </c:pt>
                  <c:pt idx="16">
                    <c:v>2010</c:v>
                  </c:pt>
                  <c:pt idx="27">
                    <c:v>2011</c:v>
                  </c:pt>
                  <c:pt idx="33">
                    <c:v>2012</c:v>
                  </c:pt>
                  <c:pt idx="34">
                    <c:v>2013</c:v>
                  </c:pt>
                  <c:pt idx="36">
                    <c:v>2014</c:v>
                  </c:pt>
                  <c:pt idx="40">
                    <c:v>2015</c:v>
                  </c:pt>
                  <c:pt idx="42">
                    <c:v>2016</c:v>
                  </c:pt>
                  <c:pt idx="50">
                    <c:v>2017</c:v>
                  </c:pt>
                  <c:pt idx="55">
                    <c:v>2018</c:v>
                  </c:pt>
                  <c:pt idx="58">
                    <c:v>2019</c:v>
                  </c:pt>
                  <c:pt idx="64">
                    <c:v>2025</c:v>
                  </c:pt>
                </c:lvl>
              </c:multiLvlStrCache>
            </c:multiLvlStrRef>
          </c:cat>
          <c:val>
            <c:numRef>
              <c:f>'3'!$B$33:$B$183</c:f>
              <c:numCache>
                <c:formatCode>General</c:formatCode>
                <c:ptCount val="67"/>
                <c:pt idx="0">
                  <c:v>10.125</c:v>
                </c:pt>
                <c:pt idx="1">
                  <c:v>10.125</c:v>
                </c:pt>
                <c:pt idx="2">
                  <c:v>4.7520000000000007</c:v>
                </c:pt>
                <c:pt idx="3">
                  <c:v>5.7</c:v>
                </c:pt>
                <c:pt idx="4">
                  <c:v>5.75</c:v>
                </c:pt>
                <c:pt idx="5">
                  <c:v>6.6000000000000005</c:v>
                </c:pt>
                <c:pt idx="6">
                  <c:v>6.7320000000000002</c:v>
                </c:pt>
                <c:pt idx="7">
                  <c:v>7.1875</c:v>
                </c:pt>
                <c:pt idx="8">
                  <c:v>7.3920000000000003</c:v>
                </c:pt>
                <c:pt idx="9">
                  <c:v>7.9499999999999993</c:v>
                </c:pt>
                <c:pt idx="10">
                  <c:v>11.484</c:v>
                </c:pt>
                <c:pt idx="11">
                  <c:v>5.8260999999999994</c:v>
                </c:pt>
                <c:pt idx="12">
                  <c:v>17</c:v>
                </c:pt>
                <c:pt idx="13">
                  <c:v>12</c:v>
                </c:pt>
                <c:pt idx="14">
                  <c:v>12</c:v>
                </c:pt>
                <c:pt idx="15">
                  <c:v>6.85</c:v>
                </c:pt>
                <c:pt idx="16">
                  <c:v>6</c:v>
                </c:pt>
                <c:pt idx="17">
                  <c:v>7.0200000000000005</c:v>
                </c:pt>
                <c:pt idx="18">
                  <c:v>7.2</c:v>
                </c:pt>
                <c:pt idx="19">
                  <c:v>13.3</c:v>
                </c:pt>
                <c:pt idx="20">
                  <c:v>13.5</c:v>
                </c:pt>
                <c:pt idx="21">
                  <c:v>14</c:v>
                </c:pt>
                <c:pt idx="22">
                  <c:v>14</c:v>
                </c:pt>
                <c:pt idx="23">
                  <c:v>15.3</c:v>
                </c:pt>
                <c:pt idx="24">
                  <c:v>15.438000000000001</c:v>
                </c:pt>
                <c:pt idx="25">
                  <c:v>19.919999999999998</c:v>
                </c:pt>
                <c:pt idx="26">
                  <c:v>33.800000000000004</c:v>
                </c:pt>
                <c:pt idx="27">
                  <c:v>8.0939999999999994</c:v>
                </c:pt>
                <c:pt idx="28">
                  <c:v>16</c:v>
                </c:pt>
                <c:pt idx="29">
                  <c:v>16</c:v>
                </c:pt>
                <c:pt idx="30">
                  <c:v>16.079999999999998</c:v>
                </c:pt>
                <c:pt idx="31">
                  <c:v>22</c:v>
                </c:pt>
                <c:pt idx="32">
                  <c:v>22</c:v>
                </c:pt>
                <c:pt idx="33">
                  <c:v>12.9724</c:v>
                </c:pt>
                <c:pt idx="34">
                  <c:v>16.701000000000001</c:v>
                </c:pt>
                <c:pt idx="35">
                  <c:v>21.3597</c:v>
                </c:pt>
                <c:pt idx="36">
                  <c:v>14</c:v>
                </c:pt>
                <c:pt idx="37">
                  <c:v>18</c:v>
                </c:pt>
                <c:pt idx="38">
                  <c:v>22.391999999999999</c:v>
                </c:pt>
                <c:pt idx="39">
                  <c:v>25</c:v>
                </c:pt>
                <c:pt idx="40">
                  <c:v>6.4799999999999995</c:v>
                </c:pt>
                <c:pt idx="41">
                  <c:v>7.5600000000000005</c:v>
                </c:pt>
                <c:pt idx="42">
                  <c:v>5.07</c:v>
                </c:pt>
                <c:pt idx="43">
                  <c:v>5.08</c:v>
                </c:pt>
                <c:pt idx="44">
                  <c:v>6.0419999999999998</c:v>
                </c:pt>
                <c:pt idx="45">
                  <c:v>11.9</c:v>
                </c:pt>
                <c:pt idx="46">
                  <c:v>18.920000000000002</c:v>
                </c:pt>
                <c:pt idx="47">
                  <c:v>19.339622641509436</c:v>
                </c:pt>
                <c:pt idx="48">
                  <c:v>21.56</c:v>
                </c:pt>
                <c:pt idx="49">
                  <c:v>25.155000000000001</c:v>
                </c:pt>
                <c:pt idx="50">
                  <c:v>18.099562500000001</c:v>
                </c:pt>
                <c:pt idx="51">
                  <c:v>18.103092783505154</c:v>
                </c:pt>
                <c:pt idx="52">
                  <c:v>20.677966101694917</c:v>
                </c:pt>
                <c:pt idx="53">
                  <c:v>28.631578947368421</c:v>
                </c:pt>
                <c:pt idx="54">
                  <c:v>32.11469534050179</c:v>
                </c:pt>
                <c:pt idx="55">
                  <c:v>21.422360000000001</c:v>
                </c:pt>
                <c:pt idx="56">
                  <c:v>23.610440000000001</c:v>
                </c:pt>
                <c:pt idx="57">
                  <c:v>36.429320000000004</c:v>
                </c:pt>
                <c:pt idx="58">
                  <c:v>14.75</c:v>
                </c:pt>
                <c:pt idx="59">
                  <c:v>20.389714285714287</c:v>
                </c:pt>
                <c:pt idx="60">
                  <c:v>23.117505995203835</c:v>
                </c:pt>
                <c:pt idx="61">
                  <c:v>26</c:v>
                </c:pt>
                <c:pt idx="62">
                  <c:v>32.200000000000003</c:v>
                </c:pt>
                <c:pt idx="63">
                  <c:v>41.687499999999993</c:v>
                </c:pt>
                <c:pt idx="64">
                  <c:v>16.559999999999999</c:v>
                </c:pt>
                <c:pt idx="65">
                  <c:v>17.02</c:v>
                </c:pt>
                <c:pt idx="66">
                  <c:v>17.05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55036672"/>
        <c:axId val="255032320"/>
      </c:barChart>
      <c:catAx>
        <c:axId val="25503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5032320"/>
        <c:crosses val="autoZero"/>
        <c:auto val="1"/>
        <c:lblAlgn val="ctr"/>
        <c:lblOffset val="100"/>
        <c:noMultiLvlLbl val="0"/>
      </c:catAx>
      <c:valAx>
        <c:axId val="25503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GWP in kg CO</a:t>
                </a:r>
                <a:r>
                  <a:rPr lang="de-DE" baseline="-25000"/>
                  <a:t>2</a:t>
                </a:r>
                <a:r>
                  <a:rPr lang="de-DE"/>
                  <a:t>/kg battery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503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[S1 Meta-Analysis of Lithium-Ion Batteries.xlsx]4!PivotTable3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EoL emissions of lithium-ion batteries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'4'!$B$32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'4'!$A$33:$A$53</c:f>
              <c:multiLvlStrCache>
                <c:ptCount val="9"/>
                <c:lvl>
                  <c:pt idx="0">
                    <c:v>Deng, Yelin; Li, Jianyang; Li, Tonghui; Zhang, Jingyi; Yang, Fan; Yuan, Chris. Life cycle assessment of high capacity molybdenum disulfide lithium-ion battery for electric vehicles. Table S13</c:v>
                  </c:pt>
                  <c:pt idx="1">
                    <c:v>Deng, Yelin; Li, Jianyang; Li, Tonghui; Gao, Xianfeng; Yuan, Chris. Life cycle assessment of lithium sulfur battery for electric vehicles. Supplementary Data Appendix: Table S26.</c:v>
                  </c:pt>
                  <c:pt idx="2">
                    <c:v>Deng, Yelin; Li, Jianyang; Li, Tonghui; Zhang, Jingyi; Yang, Fan; Yuan, Chris. Life cycle assessment of high capacity molybdenum disulfide lithium-ion battery for electric vehicles. Table S13</c:v>
                  </c:pt>
                  <c:pt idx="3">
                    <c:v>Deng, Yelin; Li, Jianyang; Li, Tonghui; Gao, Xianfeng; Yuan, Chris. Life cycle assessment of lithium sulfur battery for electric vehicles. Supplementary Data Appendix: Table S26.</c:v>
                  </c:pt>
                  <c:pt idx="4">
                    <c:v>Deng, Yelin; Ma, Lulu; Li, Tonghui; Li, Jianyang; Yuan, Chris. Life Cycle Assessment of Silicon-Nanotube-Based Lithium Ion Battery for Electric Vehicles. S.</c:v>
                  </c:pt>
                  <c:pt idx="5">
                    <c:v>Deng, Yelin; Ma, Lulu; Li, Tonghui; Li, Jianyang; Yuan, Chris. Life Cycle Assessment of Silicon-Nanotube-Based Lithium Ion Battery for Electric Vehicles. S.</c:v>
                  </c:pt>
                  <c:pt idx="6">
                    <c:v>Cusenza, Maria Anna; Bobba, Silvia; Ardente, Fulvio; Cellura, Maurizio; Di Persio, Franco. Energy and environmental assessment of a traction lithium-ion battery pack for plug-in hybrid electric vehicles. </c:v>
                  </c:pt>
                  <c:pt idx="7">
                    <c:v>Cusenza, Maria Anna; Bobba, Silvia; Ardente, Fulvio; Cellura, Maurizio; Di Persio, Franco. Energy and environmental assessment of a traction lithium-ion battery pack for plug-in hybrid electric vehicles. Table S2</c:v>
                  </c:pt>
                  <c:pt idx="8">
                    <c:v>FarhKLang. S.33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</c:lvl>
                <c:lvl>
                  <c:pt idx="0">
                    <c:v>2017</c:v>
                  </c:pt>
                  <c:pt idx="4">
                    <c:v>2019</c:v>
                  </c:pt>
                </c:lvl>
              </c:multiLvlStrCache>
            </c:multiLvlStrRef>
          </c:cat>
          <c:val>
            <c:numRef>
              <c:f>'4'!$B$33:$B$53</c:f>
              <c:numCache>
                <c:formatCode>General</c:formatCode>
                <c:ptCount val="9"/>
                <c:pt idx="0">
                  <c:v>0.91052631578947374</c:v>
                </c:pt>
                <c:pt idx="1">
                  <c:v>0.91756272401433692</c:v>
                </c:pt>
                <c:pt idx="2">
                  <c:v>0.91958762886597945</c:v>
                </c:pt>
                <c:pt idx="3">
                  <c:v>0.967984934086629</c:v>
                </c:pt>
                <c:pt idx="4">
                  <c:v>0.94374999999999998</c:v>
                </c:pt>
                <c:pt idx="5">
                  <c:v>0.9688249400479616</c:v>
                </c:pt>
                <c:pt idx="6">
                  <c:v>1.0194857142857143</c:v>
                </c:pt>
                <c:pt idx="7">
                  <c:v>1.0589714285714289</c:v>
                </c:pt>
                <c:pt idx="8">
                  <c:v>1.19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5031232"/>
        <c:axId val="255030688"/>
      </c:barChart>
      <c:catAx>
        <c:axId val="25503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5030688"/>
        <c:crosses val="autoZero"/>
        <c:auto val="1"/>
        <c:lblAlgn val="ctr"/>
        <c:lblOffset val="100"/>
        <c:noMultiLvlLbl val="0"/>
      </c:catAx>
      <c:valAx>
        <c:axId val="255030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GWP in kg CO2/kg battery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503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74084</xdr:colOff>
      <xdr:row>13</xdr:row>
      <xdr:rowOff>84665</xdr:rowOff>
    </xdr:from>
    <xdr:to>
      <xdr:col>5</xdr:col>
      <xdr:colOff>2010833</xdr:colOff>
      <xdr:row>19</xdr:row>
      <xdr:rowOff>105833</xdr:rowOff>
    </xdr:to>
    <xdr:sp macro="" textlink="">
      <xdr:nvSpPr>
        <xdr:cNvPr id="3" name="TextBox 2"/>
        <xdr:cNvSpPr txBox="1"/>
      </xdr:nvSpPr>
      <xdr:spPr>
        <a:xfrm>
          <a:off x="74084" y="2592915"/>
          <a:ext cx="5587999" cy="11747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This Excel</a:t>
          </a:r>
          <a:r>
            <a:rPr lang="de-DE" sz="1100" baseline="0"/>
            <a:t> sheet is an excerpt of the following Master's Thesis:</a:t>
          </a:r>
        </a:p>
        <a:p>
          <a:r>
            <a:rPr lang="de-DE" sz="1100"/>
            <a:t>Blat</a:t>
          </a:r>
          <a:r>
            <a:rPr lang="de-DE" sz="1100" baseline="0"/>
            <a:t> Belmonte, Benjamin. Optimization of the German Vehicle Fleet Transition regarding the Greenhouse Gas Emissions. 2019.	</a:t>
          </a:r>
        </a:p>
        <a:p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116417</xdr:colOff>
      <xdr:row>1</xdr:row>
      <xdr:rowOff>74083</xdr:rowOff>
    </xdr:from>
    <xdr:to>
      <xdr:col>23</xdr:col>
      <xdr:colOff>29633</xdr:colOff>
      <xdr:row>13</xdr:row>
      <xdr:rowOff>95250</xdr:rowOff>
    </xdr:to>
    <xdr:sp macro="" textlink="">
      <xdr:nvSpPr>
        <xdr:cNvPr id="2" name="Textfeld 2"/>
        <xdr:cNvSpPr txBox="1"/>
      </xdr:nvSpPr>
      <xdr:spPr>
        <a:xfrm>
          <a:off x="12943417" y="317500"/>
          <a:ext cx="3522133" cy="249766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Abkürzungen:</a:t>
          </a:r>
        </a:p>
        <a:p>
          <a:endParaRPr lang="de-DE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C: Carbon</a:t>
          </a:r>
        </a:p>
        <a:p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LCN: Lithium Cobalt Nickel Oxide</a:t>
          </a:r>
        </a:p>
        <a:p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LCO: Lithium Cobalt Oxide</a:t>
          </a:r>
        </a:p>
        <a:p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LFP: Lithium Iron Phosphate</a:t>
          </a:r>
        </a:p>
        <a:p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LMO: Lithium Manganese Oxide</a:t>
          </a:r>
        </a:p>
        <a:p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LTO:Titanate</a:t>
          </a:r>
        </a:p>
        <a:p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NCA: Lithium Nickel Cobalt Aluminium Oxide</a:t>
          </a:r>
        </a:p>
        <a:p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NCM: Lithium Nickel Cobalt Manganese Oxide</a:t>
          </a:r>
        </a:p>
        <a:p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NiMH: Nickel-Metall-Hydrid</a:t>
          </a:r>
        </a:p>
        <a:p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SS: Solid-State</a:t>
          </a:r>
        </a:p>
        <a:p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n: Nano (indicates the use of nano materials in the battery);</a:t>
          </a:r>
        </a:p>
        <a:p>
          <a:r>
            <a:rPr lang="de-DE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SS: Solidstate (battery technology with solid electrolyte).</a:t>
          </a:r>
        </a:p>
        <a:p>
          <a:endParaRPr lang="de-DE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42862</xdr:rowOff>
    </xdr:from>
    <xdr:to>
      <xdr:col>12</xdr:col>
      <xdr:colOff>76200</xdr:colOff>
      <xdr:row>28</xdr:row>
      <xdr:rowOff>114300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29</xdr:row>
      <xdr:rowOff>85725</xdr:rowOff>
    </xdr:from>
    <xdr:to>
      <xdr:col>11</xdr:col>
      <xdr:colOff>485775</xdr:colOff>
      <xdr:row>33</xdr:row>
      <xdr:rowOff>161925</xdr:rowOff>
    </xdr:to>
    <xdr:sp macro="" textlink="">
      <xdr:nvSpPr>
        <xdr:cNvPr id="5" name="TextBox 4"/>
        <xdr:cNvSpPr txBox="1"/>
      </xdr:nvSpPr>
      <xdr:spPr>
        <a:xfrm>
          <a:off x="7410450" y="5610225"/>
          <a:ext cx="6162675" cy="838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The graph sectionally shows a</a:t>
          </a:r>
          <a:r>
            <a:rPr lang="de-DE" sz="1100" baseline="0"/>
            <a:t> positive trend in time (over the x-axis). </a:t>
          </a:r>
        </a:p>
        <a:p>
          <a:endParaRPr lang="de-DE" sz="1100" baseline="0"/>
        </a:p>
        <a:p>
          <a:r>
            <a:rPr lang="de-DE" sz="1100" baseline="0"/>
            <a:t>The mean value of all data points is 0,182 kWh/kg. (See Grand Total of the pivot table)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0</xdr:row>
      <xdr:rowOff>100011</xdr:rowOff>
    </xdr:from>
    <xdr:to>
      <xdr:col>18</xdr:col>
      <xdr:colOff>381000</xdr:colOff>
      <xdr:row>27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95249</xdr:colOff>
      <xdr:row>29</xdr:row>
      <xdr:rowOff>38100</xdr:rowOff>
    </xdr:from>
    <xdr:to>
      <xdr:col>14</xdr:col>
      <xdr:colOff>428624</xdr:colOff>
      <xdr:row>35</xdr:row>
      <xdr:rowOff>47625</xdr:rowOff>
    </xdr:to>
    <xdr:sp macro="" textlink="">
      <xdr:nvSpPr>
        <xdr:cNvPr id="3" name="TextBox 2"/>
        <xdr:cNvSpPr txBox="1"/>
      </xdr:nvSpPr>
      <xdr:spPr>
        <a:xfrm>
          <a:off x="7505699" y="5562600"/>
          <a:ext cx="7038975" cy="11525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The graph does not show any trend in time (over the x-axis)</a:t>
          </a:r>
          <a:r>
            <a:rPr lang="de-DE" sz="1100" baseline="0"/>
            <a:t>.</a:t>
          </a:r>
        </a:p>
        <a:p>
          <a:endParaRPr lang="de-DE" sz="1100" baseline="0"/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mean value of all data points is </a:t>
          </a:r>
          <a:r>
            <a:rPr lang="de-DE" sz="1100" baseline="0"/>
            <a:t>15,86 kg CO</a:t>
          </a:r>
          <a:r>
            <a:rPr lang="de-DE" sz="1100" baseline="-25000"/>
            <a:t>2</a:t>
          </a:r>
          <a:r>
            <a:rPr lang="de-DE" sz="1100" baseline="0"/>
            <a:t>/kg battery. (See Grand Total of pivot table)</a:t>
          </a: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median value of all data points is </a:t>
          </a:r>
          <a:r>
            <a:rPr lang="de-DE" sz="1100" baseline="0"/>
            <a:t>ist 15,44 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kg CO</a:t>
          </a:r>
          <a:r>
            <a:rPr lang="de-DE" sz="11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/kg 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battery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de-DE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323848</xdr:colOff>
      <xdr:row>0</xdr:row>
      <xdr:rowOff>128586</xdr:rowOff>
    </xdr:from>
    <xdr:to>
      <xdr:col>2</xdr:col>
      <xdr:colOff>1085849</xdr:colOff>
      <xdr:row>27</xdr:row>
      <xdr:rowOff>161925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514350</xdr:colOff>
      <xdr:row>30</xdr:row>
      <xdr:rowOff>85725</xdr:rowOff>
    </xdr:from>
    <xdr:to>
      <xdr:col>13</xdr:col>
      <xdr:colOff>523875</xdr:colOff>
      <xdr:row>32</xdr:row>
      <xdr:rowOff>95250</xdr:rowOff>
    </xdr:to>
    <xdr:sp macro="" textlink="">
      <xdr:nvSpPr>
        <xdr:cNvPr id="5" name="TextBox 4"/>
        <xdr:cNvSpPr txBox="1"/>
      </xdr:nvSpPr>
      <xdr:spPr>
        <a:xfrm>
          <a:off x="6038850" y="5800725"/>
          <a:ext cx="6296025" cy="3905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mean value of all data points is approx</a:t>
          </a:r>
          <a:r>
            <a:rPr lang="de-DE" sz="1100" baseline="0"/>
            <a:t>. 1 kg CO</a:t>
          </a:r>
          <a:r>
            <a:rPr lang="de-DE" sz="1100" baseline="-25000"/>
            <a:t>2</a:t>
          </a:r>
          <a:r>
            <a:rPr lang="de-DE" sz="1100" baseline="0"/>
            <a:t>/kg battery. (See Grand Total of pivot table)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S1%20Meta-Analysis%20of%20Lithium-Ion%20Batteries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S1%20Meta-Analysis%20of%20Lithium-Ion%20Batteries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774.532266666669" createdVersion="5" refreshedVersion="5" minRefreshableVersion="3" recordCount="121">
  <cacheSource type="worksheet">
    <worksheetSource ref="A2:J123" sheet="1" r:id="rId2"/>
  </cacheSource>
  <cacheFields count="10">
    <cacheField name="Nr." numFmtId="0">
      <sharedItems containsSemiMixedTypes="0" containsString="0" containsNumber="1" containsInteger="1" minValue="1" maxValue="121" count="12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84"/>
        <n v="85"/>
        <n v="77"/>
        <n v="98"/>
        <n v="88"/>
        <n v="93"/>
        <n v="107"/>
        <n v="78"/>
        <n v="91"/>
        <n v="86"/>
        <n v="99"/>
        <n v="89"/>
        <n v="94"/>
        <n v="95"/>
        <n v="96"/>
        <n v="92"/>
        <n v="79"/>
        <n v="80"/>
        <n v="100"/>
        <n v="108"/>
        <n v="97"/>
        <n v="101"/>
        <n v="102"/>
        <n v="109"/>
        <n v="81"/>
        <n v="82"/>
        <n v="83"/>
        <n v="110"/>
        <n v="90"/>
        <n v="111"/>
        <n v="112"/>
        <n v="87"/>
        <n v="103"/>
        <n v="113"/>
        <n v="104"/>
        <n v="105"/>
        <n v="106"/>
        <n v="114"/>
        <n v="115"/>
        <n v="116"/>
        <n v="117"/>
        <n v="118"/>
        <n v="119"/>
        <n v="120"/>
        <n v="121"/>
      </sharedItems>
    </cacheField>
    <cacheField name="Quelle" numFmtId="0">
      <sharedItems count="30">
        <s v="Deng, Yelin; Li, Jianyang; Li, Tonghui; Zhang, Jingyi; Yang, Fan; Yuan, Chris. Life cycle assessment of high capacity molybdenum disulfide lithium-ion battery for electric vehicles. Table S13"/>
        <s v="Deng, Yelin; Li, Jianyang; Li, Tonghui; Gao, Xianfeng; Yuan, Chris. Life cycle assessment of lithium sulfur battery for electric vehicles. Supplementary Data Appendix: Table S26."/>
        <s v="Deng, Yelin; Ma, Lulu; Li, Tonghui; Li, Jianyang; Yuan, Chris. Life Cycle Assessment of Silicon-Nanotube-Based Lithium Ion Battery for Electric Vehicles. S."/>
        <s v="Cusenza, Maria Anna; Bobba, Silvia; Ardente, Fulvio; Cellura, Maurizio; Di Persio, Franco. Energy and environmental assessment of a traction lithium-ion battery pack for plug-in hybrid electric vehicles. "/>
        <s v="Cusenza, Maria Anna; Bobba, Silvia; Ardente, Fulvio; Cellura, Maurizio; Di Persio, Franco. Energy and environmental assessment of a traction lithium-ion battery pack for plug-in hybrid electric vehicles. Table S2"/>
        <s v="FarhKLang. S.33"/>
        <s v="Helmers, Eckard. Electric cars: technical characteristics and environmental impacts. S.10"/>
        <s v="Jens F. Peters; Manuel Baumann; Benedikt Zimmermann; Jessica Braun; Marcel Weil. The environmental impact of Li-Ion batteries and the role of key parameters – A review. Supplementary data."/>
        <s v="Samaras, Constantine; Meisterling, Kyle. Life Cycle Assessment of Greenhouse Gas Emissions from Plug-in Hybrid Vehicles: Implications for Policy. Supporting Information: Table: S2"/>
        <s v="Dominic A. Notter; Marcel Gauch; Rolf Widmer; Patrick Wäger; Anna Stamp; Rainer Zah; Hans-Jörg Althaus. Contribution of Li-ion batteries to the environmental  impact of electric vehicles. S.39"/>
        <s v="Peters, Jens F.; Weil, Marcel. Providing a common base for life cycle assessments of Li-Ion batteries. S.710"/>
        <s v="Zackrisson, Mats; Avellán, Lars; Orlenius, Jessica. Life cycle assessment of lithium-ion batteries for plug-in hybrid electric vehicles – Critical issues. S.1524"/>
        <s v="Majeau-Bettez, Guillaume; Hawkins, Troy R.; Strømman, Anders Hammer. Life cycle environmental assessment of lithium-ion and nickel metal hydride batteries for plug-in hybrid and battery electric vehicles. S.4551"/>
        <s v="Ellingsen, Linda Ager‐Wick; Majeau‐Bettez, Guillaume; Singh, Bhawna; Srivastava, Akhilesh Kumar; Valøen, Lars Ole; Strømman, Anders Hammer. Life Cycle Assessment of a Lithium‐Ion Battery Vehicle Pack. S.118"/>
        <s v="Kim, Hyung Chul; Wallington, Timothy J.; Arsenault, Renata; Bae, Chulheung; Ahn, Suckwon; Lee, Jaeran. Cradle-to-Gate Emissions from a Commercial Electric Vehicle Li-Ion Battery: A Comparative Analysis. S.2"/>
        <s v="Sanfélix, Javier; La Rúa, Cristina de; Schmidt, Jannick; Messagie, Maarten; van Mierlo, Joeri. Environmental and Economic Performance of an Li-Ion Battery Pack: A Multiregional Input-Output Approach. S.9"/>
        <s v="Wang, Yuqi; Yu, Yajuan; Huang, Kai; Chen, Bo; Deng, Wensheng; Yao, Ying. Quantifying the environmental impact of a Li-rich high-capacity cathode material in electric vehicles via life cycle assessment. S.1258"/>
        <s v="Wu, Zheshan; Kong, Defei. Comparative life cycle assessment of lithium-ion batteries with lithium metal, silicon nanowire, and graphite anodes. S.1238"/>
        <s v="Chen, I-Ching; Hamano, Hiroyuki; Iwasaki, Hiroshi; Yamada, Koichi. An Economic-Environmental Analysis of Lithium Ion Batteries Based on Process Design and a Manufacturing Equipment Database. S.116"/>
        <s v="Cusenza, Maria Anna; Bobba, Silvia; Ardente, Fulvio; Cellura, Maurizio; Di Persio, Franco. Energy and environmental assessment of a traction lithium-ion battery pack for plug-in hybrid electric vehicles. S.643"/>
        <s v="Conte, F. V. Battery and battery management for hybrid electric vehicles: a review. S.428"/>
        <s v="Helmers, Eckard. Electric cars: technical characteristics and environmental impacts. S.4"/>
        <s v="Hueso, Karina B.; Palomares, Verónica; Armand, Michel; Rojo, Teófilo. Challenges and perspectives on high and intermediate-temperature sodium batteries. S.4083"/>
        <s v="Justin Amirault, Joshua Chien, Saurabh Garg, et. al. The Electric Vehicle Battery Landscape: Opportunities and Challenges. S.6"/>
        <s v="Berg, Helena; Zackrisson, Mats. Perspectives on environmental and cost assessment of lithium metal negative electrodes in electric vehicle traction batteries. S.87"/>
        <s v="Hammond, Geoffrey P.; Hazeldine, Tom. Indicative energy technology assessment of advanced rechargeable batteries. S.565"/>
        <s v="Justin Amirault, Joshua Chien, Saurabh Garg, et. al. The Electric Vehicle Battery Landscape: Opportunities and Challenges. S.7"/>
        <s v="Chen, I-Ching; Hamano, Hiroyuki; Iwasaki, Hiroshi; Yamada, Koichi. An Economic-Environmental Analysis of Lithium Ion Batteries Based on Process Design and a Manufacturing Equipment Database. S.114"/>
        <s v="Justin Amirault, Joshua Chien, Saurabh Garg, et. al. The Electric Vehicle Battery Landscape: Opportunities and Challenges. S.8"/>
        <s v="Thielmann, A.; Sauer, A.; Wietschel, M. Gesamt-Roadmap Energiespeicher für die Elektromobilität 2030. S.13"/>
      </sharedItems>
    </cacheField>
    <cacheField name="Jahr der Erscheinung" numFmtId="0">
      <sharedItems containsSemiMixedTypes="0" containsString="0" containsNumber="1" containsInteger="1" minValue="2006" maxValue="2019"/>
    </cacheField>
    <cacheField name="chemische Komponenten" numFmtId="0">
      <sharedItems containsBlank="1"/>
    </cacheField>
    <cacheField name="Eigenschaft" numFmtId="0">
      <sharedItems count="3">
        <s v="EoL Emissionen"/>
        <s v="Produktionsemissionen"/>
        <s v="spezifische Energie"/>
      </sharedItems>
    </cacheField>
    <cacheField name="Einheit (Recherche)" numFmtId="0">
      <sharedItems/>
    </cacheField>
    <cacheField name="Wert (Recherche)" numFmtId="0">
      <sharedItems containsSemiMixedTypes="0" containsString="0" containsNumber="1" minValue="1.2800000000000001E-3" maxValue="700"/>
    </cacheField>
    <cacheField name="Einheit (Ziel)" numFmtId="0">
      <sharedItems/>
    </cacheField>
    <cacheField name="Wert (Ziel)" numFmtId="0">
      <sharedItems containsSemiMixedTypes="0" containsString="0" containsNumber="1" minValue="5.0000000000000001E-3" maxValue="41.687499999999993"/>
    </cacheField>
    <cacheField name="zeitbezogener Erfassungsbereich" numFmtId="0">
      <sharedItems containsSemiMixedTypes="0" containsString="0" containsNumber="1" containsInteger="1" minValue="1998" maxValue="2040" count="21">
        <n v="2017"/>
        <n v="2019"/>
        <n v="2002"/>
        <n v="2004"/>
        <n v="2007"/>
        <n v="2008"/>
        <n v="2009"/>
        <n v="2010"/>
        <n v="2011"/>
        <n v="2012"/>
        <n v="2013"/>
        <n v="2014"/>
        <n v="2015"/>
        <n v="2016"/>
        <n v="2018"/>
        <n v="2025"/>
        <n v="2006"/>
        <n v="1998"/>
        <n v="2020"/>
        <n v="2030"/>
        <n v="204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hor" refreshedDate="43774.533907060184" createdVersion="5" refreshedVersion="5" minRefreshableVersion="3" recordCount="121">
  <cacheSource type="worksheet">
    <worksheetSource name="Tabelle_alle_Kennzahlen" r:id="rId2"/>
  </cacheSource>
  <cacheFields count="10">
    <cacheField name="Nr." numFmtId="0">
      <sharedItems containsSemiMixedTypes="0" containsString="0" containsNumber="1" containsInteger="1" minValue="1" maxValue="121" count="12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84"/>
        <n v="85"/>
        <n v="77"/>
        <n v="98"/>
        <n v="88"/>
        <n v="93"/>
        <n v="107"/>
        <n v="78"/>
        <n v="91"/>
        <n v="86"/>
        <n v="99"/>
        <n v="89"/>
        <n v="94"/>
        <n v="95"/>
        <n v="96"/>
        <n v="92"/>
        <n v="79"/>
        <n v="80"/>
        <n v="100"/>
        <n v="108"/>
        <n v="97"/>
        <n v="101"/>
        <n v="102"/>
        <n v="109"/>
        <n v="81"/>
        <n v="82"/>
        <n v="83"/>
        <n v="110"/>
        <n v="90"/>
        <n v="111"/>
        <n v="112"/>
        <n v="87"/>
        <n v="103"/>
        <n v="113"/>
        <n v="104"/>
        <n v="105"/>
        <n v="106"/>
        <n v="114"/>
        <n v="115"/>
        <n v="116"/>
        <n v="117"/>
        <n v="118"/>
        <n v="119"/>
        <n v="120"/>
        <n v="121"/>
      </sharedItems>
    </cacheField>
    <cacheField name="Quelle" numFmtId="0">
      <sharedItems count="30">
        <s v="Deng, Yelin; Li, Jianyang; Li, Tonghui; Zhang, Jingyi; Yang, Fan; Yuan, Chris. Life cycle assessment of high capacity molybdenum disulfide lithium-ion battery for electric vehicles. Table S13"/>
        <s v="Deng, Yelin; Li, Jianyang; Li, Tonghui; Gao, Xianfeng; Yuan, Chris. Life cycle assessment of lithium sulfur battery for electric vehicles. Supplementary Data Appendix: Table S26."/>
        <s v="Deng, Yelin; Ma, Lulu; Li, Tonghui; Li, Jianyang; Yuan, Chris. Life Cycle Assessment of Silicon-Nanotube-Based Lithium Ion Battery for Electric Vehicles. S."/>
        <s v="Cusenza, Maria Anna; Bobba, Silvia; Ardente, Fulvio; Cellura, Maurizio; Di Persio, Franco. Energy and environmental assessment of a traction lithium-ion battery pack for plug-in hybrid electric vehicles. "/>
        <s v="Cusenza, Maria Anna; Bobba, Silvia; Ardente, Fulvio; Cellura, Maurizio; Di Persio, Franco. Energy and environmental assessment of a traction lithium-ion battery pack for plug-in hybrid electric vehicles. Table S2"/>
        <s v="FarhKLang. S.33"/>
        <s v="Helmers, Eckard. Electric cars: technical characteristics and environmental impacts. S.10"/>
        <s v="Jens F. Peters; Manuel Baumann; Benedikt Zimmermann; Jessica Braun; Marcel Weil. The environmental impact of Li-Ion batteries and the role of key parameters – A review. Supplementary data."/>
        <s v="Samaras, Constantine; Meisterling, Kyle. Life Cycle Assessment of Greenhouse Gas Emissions from Plug-in Hybrid Vehicles: Implications for Policy. Supporting Information: Table: S2"/>
        <s v="Dominic A. Notter; Marcel Gauch; Rolf Widmer; Patrick Wäger; Anna Stamp; Rainer Zah; Hans-Jörg Althaus. Contribution of Li-ion batteries to the environmental  impact of electric vehicles. S.39"/>
        <s v="Peters, Jens F.; Weil, Marcel. Providing a common base for life cycle assessments of Li-Ion batteries. S.710"/>
        <s v="Zackrisson, Mats; Avellán, Lars; Orlenius, Jessica. Life cycle assessment of lithium-ion batteries for plug-in hybrid electric vehicles – Critical issues. S.1524"/>
        <s v="Majeau-Bettez, Guillaume; Hawkins, Troy R.; Strømman, Anders Hammer. Life cycle environmental assessment of lithium-ion and nickel metal hydride batteries for plug-in hybrid and battery electric vehicles. S.4551"/>
        <s v="Ellingsen, Linda Ager‐Wick; Majeau‐Bettez, Guillaume; Singh, Bhawna; Srivastava, Akhilesh Kumar; Valøen, Lars Ole; Strømman, Anders Hammer. Life Cycle Assessment of a Lithium‐Ion Battery Vehicle Pack. S.118"/>
        <s v="Kim, Hyung Chul; Wallington, Timothy J.; Arsenault, Renata; Bae, Chulheung; Ahn, Suckwon; Lee, Jaeran. Cradle-to-Gate Emissions from a Commercial Electric Vehicle Li-Ion Battery: A Comparative Analysis. S.2"/>
        <s v="Sanfélix, Javier; La Rúa, Cristina de; Schmidt, Jannick; Messagie, Maarten; van Mierlo, Joeri. Environmental and Economic Performance of an Li-Ion Battery Pack: A Multiregional Input-Output Approach. S.9"/>
        <s v="Wang, Yuqi; Yu, Yajuan; Huang, Kai; Chen, Bo; Deng, Wensheng; Yao, Ying. Quantifying the environmental impact of a Li-rich high-capacity cathode material in electric vehicles via life cycle assessment. S.1258"/>
        <s v="Wu, Zheshan; Kong, Defei. Comparative life cycle assessment of lithium-ion batteries with lithium metal, silicon nanowire, and graphite anodes. S.1238"/>
        <s v="Chen, I-Ching; Hamano, Hiroyuki; Iwasaki, Hiroshi; Yamada, Koichi. An Economic-Environmental Analysis of Lithium Ion Batteries Based on Process Design and a Manufacturing Equipment Database. S.116"/>
        <s v="Cusenza, Maria Anna; Bobba, Silvia; Ardente, Fulvio; Cellura, Maurizio; Di Persio, Franco. Energy and environmental assessment of a traction lithium-ion battery pack for plug-in hybrid electric vehicles. S.643"/>
        <s v="Conte, F. V. Battery and battery management for hybrid electric vehicles: a review. S.428"/>
        <s v="Helmers, Eckard. Electric cars: technical characteristics and environmental impacts. S.4"/>
        <s v="Hueso, Karina B.; Palomares, Verónica; Armand, Michel; Rojo, Teófilo. Challenges and perspectives on high and intermediate-temperature sodium batteries. S.4083"/>
        <s v="Justin Amirault, Joshua Chien, Saurabh Garg, et. al. The Electric Vehicle Battery Landscape: Opportunities and Challenges. S.6"/>
        <s v="Berg, Helena; Zackrisson, Mats. Perspectives on environmental and cost assessment of lithium metal negative electrodes in electric vehicle traction batteries. S.87"/>
        <s v="Hammond, Geoffrey P.; Hazeldine, Tom. Indicative energy technology assessment of advanced rechargeable batteries. S.565"/>
        <s v="Justin Amirault, Joshua Chien, Saurabh Garg, et. al. The Electric Vehicle Battery Landscape: Opportunities and Challenges. S.7"/>
        <s v="Chen, I-Ching; Hamano, Hiroyuki; Iwasaki, Hiroshi; Yamada, Koichi. An Economic-Environmental Analysis of Lithium Ion Batteries Based on Process Design and a Manufacturing Equipment Database. S.114"/>
        <s v="Justin Amirault, Joshua Chien, Saurabh Garg, et. al. The Electric Vehicle Battery Landscape: Opportunities and Challenges. S.8"/>
        <s v="Thielmann, A.; Sauer, A.; Wietschel, M. Gesamt-Roadmap Energiespeicher für die Elektromobilität 2030. S.13"/>
      </sharedItems>
    </cacheField>
    <cacheField name="Jahr der Erscheinung" numFmtId="0">
      <sharedItems containsSemiMixedTypes="0" containsString="0" containsNumber="1" containsInteger="1" minValue="2006" maxValue="2019"/>
    </cacheField>
    <cacheField name="chemische Komponenten" numFmtId="0">
      <sharedItems containsBlank="1"/>
    </cacheField>
    <cacheField name="Eigenschaft" numFmtId="0">
      <sharedItems count="3">
        <s v="EoL Emissionen"/>
        <s v="Produktionsemissionen"/>
        <s v="spezifische Energie"/>
      </sharedItems>
    </cacheField>
    <cacheField name="Einheit (Recherche)" numFmtId="0">
      <sharedItems/>
    </cacheField>
    <cacheField name="Wert (Recherche)" numFmtId="0">
      <sharedItems containsSemiMixedTypes="0" containsString="0" containsNumber="1" minValue="1.2800000000000001E-3" maxValue="700"/>
    </cacheField>
    <cacheField name="Einheit (Ziel)" numFmtId="0">
      <sharedItems/>
    </cacheField>
    <cacheField name="Wert (Ziel)" numFmtId="0">
      <sharedItems containsSemiMixedTypes="0" containsString="0" containsNumber="1" minValue="5.0000000000000001E-3" maxValue="41.687499999999993"/>
    </cacheField>
    <cacheField name="zeitbezogener Erfassungsbereich" numFmtId="0">
      <sharedItems containsSemiMixedTypes="0" containsString="0" containsNumber="1" containsInteger="1" minValue="1998" maxValue="2040" count="21">
        <n v="2017"/>
        <n v="2019"/>
        <n v="2002"/>
        <n v="2004"/>
        <n v="2007"/>
        <n v="2008"/>
        <n v="2009"/>
        <n v="2010"/>
        <n v="2011"/>
        <n v="2012"/>
        <n v="2013"/>
        <n v="2014"/>
        <n v="2015"/>
        <n v="2016"/>
        <n v="2018"/>
        <n v="2025"/>
        <n v="2006"/>
        <n v="1998"/>
        <n v="2020"/>
        <n v="2030"/>
        <n v="204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1">
  <r>
    <x v="0"/>
    <x v="0"/>
    <n v="2017"/>
    <s v="NMC-MoS2"/>
    <x v="0"/>
    <s v="kg CO2/km"/>
    <n v="1.73E-3"/>
    <s v="kg CO2/kg Batterie"/>
    <n v="0.91052631578947374"/>
    <x v="0"/>
  </r>
  <r>
    <x v="1"/>
    <x v="1"/>
    <n v="2017"/>
    <s v="Li-S"/>
    <x v="0"/>
    <s v="kg CO2/km"/>
    <n v="1.2800000000000001E-3"/>
    <s v="kg CO2/kg Batterie"/>
    <n v="0.91756272401433692"/>
    <x v="0"/>
  </r>
  <r>
    <x v="2"/>
    <x v="0"/>
    <n v="2017"/>
    <s v="NMC-Graphite"/>
    <x v="0"/>
    <s v="kg CO2/km"/>
    <n v="2.2300000000000002E-3"/>
    <s v="kg CO2/kg Batterie"/>
    <n v="0.91958762886597945"/>
    <x v="0"/>
  </r>
  <r>
    <x v="3"/>
    <x v="1"/>
    <n v="2017"/>
    <s v="NMC"/>
    <x v="0"/>
    <s v="kg CO2/km"/>
    <n v="2.5699999999999998E-3"/>
    <s v="kg CO2/kg Batterie"/>
    <n v="0.967984934086629"/>
    <x v="0"/>
  </r>
  <r>
    <x v="4"/>
    <x v="2"/>
    <n v="2019"/>
    <s v="NMC-SiNT"/>
    <x v="0"/>
    <s v="kg CO2/km"/>
    <n v="1.5100000000000001E-3"/>
    <s v="kg CO2/kg Batterie"/>
    <n v="0.94374999999999998"/>
    <x v="1"/>
  </r>
  <r>
    <x v="5"/>
    <x v="2"/>
    <n v="2019"/>
    <s v="NMC-Graphite"/>
    <x v="0"/>
    <s v="kg CO2/km"/>
    <n v="2.0200000000000001E-3"/>
    <s v="kg CO2/kg Batterie"/>
    <n v="0.9688249400479616"/>
    <x v="1"/>
  </r>
  <r>
    <x v="6"/>
    <x v="3"/>
    <n v="2019"/>
    <m/>
    <x v="0"/>
    <s v="kg CO2/kWh Batterie"/>
    <n v="15.65"/>
    <s v="kg CO2/kg Batterie"/>
    <n v="1.0194857142857143"/>
    <x v="1"/>
  </r>
  <r>
    <x v="7"/>
    <x v="4"/>
    <n v="2019"/>
    <s v="LMO-NMC"/>
    <x v="0"/>
    <s v="kg CO2/kWh Batterie"/>
    <n v="16.256140350877196"/>
    <s v="kg CO2/kg Batterie"/>
    <n v="1.0589714285714289"/>
    <x v="1"/>
  </r>
  <r>
    <x v="8"/>
    <x v="5"/>
    <n v="2019"/>
    <m/>
    <x v="0"/>
    <s v="kg CO2/kg Batterie"/>
    <n v="1.19"/>
    <s v="kg CO2/kg Batterie"/>
    <n v="1.19"/>
    <x v="1"/>
  </r>
  <r>
    <x v="9"/>
    <x v="6"/>
    <n v="2012"/>
    <s v="LiNiCo"/>
    <x v="1"/>
    <s v="kg CO2/kWh Batterie"/>
    <n v="75"/>
    <s v="kg CO2/kg Batterie"/>
    <n v="10.125"/>
    <x v="2"/>
  </r>
  <r>
    <x v="10"/>
    <x v="6"/>
    <n v="2012"/>
    <s v="LiMn"/>
    <x v="1"/>
    <s v="kg CO2/kWh Batterie"/>
    <n v="75"/>
    <s v="kg CO2/kg Batterie"/>
    <n v="10.125"/>
    <x v="2"/>
  </r>
  <r>
    <x v="11"/>
    <x v="7"/>
    <n v="2017"/>
    <s v="LVO-C (SS)"/>
    <x v="1"/>
    <s v="kg CO2/kWh Batterie"/>
    <n v="36"/>
    <s v="kg CO2/kg Batterie"/>
    <n v="4.7520000000000007"/>
    <x v="3"/>
  </r>
  <r>
    <x v="12"/>
    <x v="7"/>
    <n v="2017"/>
    <s v="LCO-C (SS)"/>
    <x v="1"/>
    <s v="kg CO2/kWh Batterie"/>
    <n v="38"/>
    <s v="kg CO2/kg Batterie"/>
    <n v="5.7"/>
    <x v="3"/>
  </r>
  <r>
    <x v="13"/>
    <x v="7"/>
    <n v="2017"/>
    <s v="LMO-C (SS)"/>
    <x v="1"/>
    <s v="kg CO2/kWh Batterie"/>
    <n v="50"/>
    <s v="kg CO2/kg Batterie"/>
    <n v="5.75"/>
    <x v="3"/>
  </r>
  <r>
    <x v="14"/>
    <x v="7"/>
    <n v="2017"/>
    <s v="NCA-C (SS)"/>
    <x v="1"/>
    <s v="kg CO2/kWh Batterie"/>
    <n v="50"/>
    <s v="kg CO2/kg Batterie"/>
    <n v="6.6000000000000005"/>
    <x v="3"/>
  </r>
  <r>
    <x v="15"/>
    <x v="7"/>
    <n v="2017"/>
    <s v="NCM-C (SS)"/>
    <x v="1"/>
    <s v="kg CO2/kWh Batterie"/>
    <n v="51"/>
    <s v="kg CO2/kg Batterie"/>
    <n v="6.7320000000000002"/>
    <x v="3"/>
  </r>
  <r>
    <x v="16"/>
    <x v="7"/>
    <n v="2017"/>
    <s v="LMO-C"/>
    <x v="1"/>
    <s v="kg CO2/kWh Batterie"/>
    <n v="62.5"/>
    <s v="kg CO2/kg Batterie"/>
    <n v="7.1875"/>
    <x v="3"/>
  </r>
  <r>
    <x v="17"/>
    <x v="7"/>
    <n v="2017"/>
    <s v="CMO-C (SS)"/>
    <x v="1"/>
    <s v="kg CO2/kWh Batterie"/>
    <n v="56"/>
    <s v="kg CO2/kg Batterie"/>
    <n v="7.3920000000000003"/>
    <x v="3"/>
  </r>
  <r>
    <x v="18"/>
    <x v="7"/>
    <n v="2017"/>
    <s v="LCO-C"/>
    <x v="1"/>
    <s v="kg CO2/kWh Batterie"/>
    <n v="53"/>
    <s v="kg CO2/kg Batterie"/>
    <n v="7.9499999999999993"/>
    <x v="3"/>
  </r>
  <r>
    <x v="19"/>
    <x v="7"/>
    <n v="2017"/>
    <s v="NCM-C"/>
    <x v="1"/>
    <s v="kg CO2/kWh Batterie"/>
    <n v="87"/>
    <s v="kg CO2/kg Batterie"/>
    <n v="11.484"/>
    <x v="3"/>
  </r>
  <r>
    <x v="20"/>
    <x v="7"/>
    <n v="2017"/>
    <s v="LMO-C"/>
    <x v="1"/>
    <s v="kg CO2/kWh Batterie"/>
    <n v="40.6"/>
    <s v="kg CO2/kg Batterie"/>
    <n v="5.8260999999999994"/>
    <x v="4"/>
  </r>
  <r>
    <x v="21"/>
    <x v="7"/>
    <n v="2017"/>
    <s v="NCA-C"/>
    <x v="1"/>
    <s v="kg CO2/kWh Batterie"/>
    <n v="170"/>
    <s v="kg CO2/kg Batterie"/>
    <n v="17"/>
    <x v="4"/>
  </r>
  <r>
    <x v="22"/>
    <x v="7"/>
    <n v="2017"/>
    <s v="NCA-C"/>
    <x v="1"/>
    <s v="kg CO2/kWh Batterie"/>
    <n v="120"/>
    <s v="kg CO2/kg Batterie"/>
    <n v="12"/>
    <x v="5"/>
  </r>
  <r>
    <x v="23"/>
    <x v="8"/>
    <n v="2008"/>
    <m/>
    <x v="1"/>
    <s v="kg CO2/kWh Batterie"/>
    <n v="120"/>
    <s v="kg CO2/kg Batterie"/>
    <n v="12"/>
    <x v="5"/>
  </r>
  <r>
    <x v="24"/>
    <x v="7"/>
    <n v="2017"/>
    <m/>
    <x v="1"/>
    <s v="kg CO2/kWh Batterie"/>
    <n v="54.8"/>
    <s v="kg CO2/kg Batterie"/>
    <n v="6.85"/>
    <x v="6"/>
  </r>
  <r>
    <x v="25"/>
    <x v="9"/>
    <n v="2010"/>
    <m/>
    <x v="1"/>
    <s v="kg CO2/kg Batterie"/>
    <n v="6"/>
    <s v="kg CO2/kg Batterie"/>
    <n v="6"/>
    <x v="7"/>
  </r>
  <r>
    <x v="26"/>
    <x v="6"/>
    <n v="2012"/>
    <s v="LMO"/>
    <x v="1"/>
    <s v="kg CO2/kWh Batterie"/>
    <n v="52"/>
    <s v="kg CO2/kg Batterie"/>
    <n v="7.0200000000000005"/>
    <x v="7"/>
  </r>
  <r>
    <x v="27"/>
    <x v="7"/>
    <n v="2017"/>
    <s v="NCA-C"/>
    <x v="1"/>
    <s v="kg CO2/kWh Batterie"/>
    <n v="72"/>
    <s v="kg CO2/kg Batterie"/>
    <n v="7.2"/>
    <x v="7"/>
  </r>
  <r>
    <x v="28"/>
    <x v="7"/>
    <n v="2017"/>
    <s v="NCA-C"/>
    <x v="1"/>
    <s v="kg CO2/kWh Batterie"/>
    <n v="133"/>
    <s v="kg CO2/kg Batterie"/>
    <n v="13.3"/>
    <x v="7"/>
  </r>
  <r>
    <x v="29"/>
    <x v="10"/>
    <n v="2018"/>
    <s v="LMO-C"/>
    <x v="1"/>
    <s v="kg CO2/kg Batterie"/>
    <n v="13.5"/>
    <s v="kg CO2/kg Batterie"/>
    <n v="13.5"/>
    <x v="7"/>
  </r>
  <r>
    <x v="30"/>
    <x v="10"/>
    <n v="2018"/>
    <s v="LFP-C"/>
    <x v="1"/>
    <s v="kg CO2/kg Batterie"/>
    <n v="14"/>
    <s v="kg CO2/kg Batterie"/>
    <n v="14"/>
    <x v="7"/>
  </r>
  <r>
    <x v="31"/>
    <x v="10"/>
    <n v="2018"/>
    <s v="LFP-LTO"/>
    <x v="1"/>
    <s v="kg CO2/kg Batterie"/>
    <n v="14"/>
    <s v="kg CO2/kg Batterie"/>
    <n v="14"/>
    <x v="7"/>
  </r>
  <r>
    <x v="32"/>
    <x v="10"/>
    <n v="2018"/>
    <s v="NCA-C"/>
    <x v="1"/>
    <s v="kg CO2/kg Batterie"/>
    <n v="15.3"/>
    <s v="kg CO2/kg Batterie"/>
    <n v="15.3"/>
    <x v="7"/>
  </r>
  <r>
    <x v="33"/>
    <x v="11"/>
    <n v="2010"/>
    <m/>
    <x v="1"/>
    <s v="kg CO2/kWh Batterie"/>
    <n v="166"/>
    <s v="kg CO2/kg Batterie"/>
    <n v="15.438000000000001"/>
    <x v="7"/>
  </r>
  <r>
    <x v="34"/>
    <x v="6"/>
    <n v="2012"/>
    <s v="LFP"/>
    <x v="1"/>
    <s v="kg CO2/kWh Batterie"/>
    <n v="166"/>
    <s v="kg CO2/kg Batterie"/>
    <n v="19.919999999999998"/>
    <x v="7"/>
  </r>
  <r>
    <x v="35"/>
    <x v="7"/>
    <n v="2017"/>
    <s v="LFP-LTO"/>
    <x v="1"/>
    <s v="kg CO2/kWh Batterie"/>
    <n v="338"/>
    <s v="kg CO2/kg Batterie"/>
    <n v="33.800000000000004"/>
    <x v="7"/>
  </r>
  <r>
    <x v="36"/>
    <x v="7"/>
    <n v="2017"/>
    <s v="LMO-C"/>
    <x v="1"/>
    <s v="kg CO2/kWh Batterie"/>
    <n v="71"/>
    <s v="kg CO2/kg Batterie"/>
    <n v="8.0939999999999994"/>
    <x v="8"/>
  </r>
  <r>
    <x v="37"/>
    <x v="10"/>
    <n v="2018"/>
    <s v="LFP-C"/>
    <x v="1"/>
    <s v="kg CO2/kg Batterie"/>
    <n v="16"/>
    <s v="kg CO2/kg Batterie"/>
    <n v="16"/>
    <x v="8"/>
  </r>
  <r>
    <x v="38"/>
    <x v="10"/>
    <n v="2018"/>
    <s v="NCM-C"/>
    <x v="1"/>
    <s v="kg CO2/kg Batterie"/>
    <n v="16"/>
    <s v="kg CO2/kg Batterie"/>
    <n v="16"/>
    <x v="8"/>
  </r>
  <r>
    <x v="39"/>
    <x v="6"/>
    <n v="2012"/>
    <m/>
    <x v="1"/>
    <s v="kg CO2/kWh Batterie"/>
    <n v="134"/>
    <s v="kg CO2/kg Batterie"/>
    <n v="16.079999999999998"/>
    <x v="8"/>
  </r>
  <r>
    <x v="40"/>
    <x v="12"/>
    <n v="2011"/>
    <s v="NCM"/>
    <x v="1"/>
    <s v="kg CO2/kg Batterie"/>
    <n v="22"/>
    <s v="kg CO2/kg Batterie"/>
    <n v="22"/>
    <x v="8"/>
  </r>
  <r>
    <x v="41"/>
    <x v="12"/>
    <n v="2011"/>
    <s v="LFP"/>
    <x v="1"/>
    <s v="kg CO2/kg Batterie"/>
    <n v="22"/>
    <s v="kg CO2/kg Batterie"/>
    <n v="22"/>
    <x v="8"/>
  </r>
  <r>
    <x v="42"/>
    <x v="7"/>
    <n v="2017"/>
    <s v="LFP-C"/>
    <x v="1"/>
    <s v="kg CO2/kWh Batterie"/>
    <n v="79.099999999999994"/>
    <s v="kg CO2/kg Batterie"/>
    <n v="12.9724"/>
    <x v="9"/>
  </r>
  <r>
    <x v="43"/>
    <x v="7"/>
    <n v="2017"/>
    <s v="NCM-C"/>
    <x v="1"/>
    <s v="kg CO2/kWh Batterie"/>
    <n v="190"/>
    <s v="kg CO2/kg Batterie"/>
    <n v="16.701000000000001"/>
    <x v="10"/>
  </r>
  <r>
    <x v="44"/>
    <x v="7"/>
    <n v="2017"/>
    <s v="LFP-C"/>
    <x v="1"/>
    <s v="kg CO2/kWh Batterie"/>
    <n v="243"/>
    <s v="kg CO2/kg Batterie"/>
    <n v="21.3597"/>
    <x v="10"/>
  </r>
  <r>
    <x v="45"/>
    <x v="10"/>
    <n v="2018"/>
    <s v="NCM-C"/>
    <x v="1"/>
    <s v="kg CO2/kg Batterie"/>
    <n v="14"/>
    <s v="kg CO2/kg Batterie"/>
    <n v="14"/>
    <x v="11"/>
  </r>
  <r>
    <x v="46"/>
    <x v="13"/>
    <n v="2014"/>
    <s v="NMC"/>
    <x v="1"/>
    <s v="kg CO2/kg Batterie"/>
    <n v="18"/>
    <s v="kg CO2/kg Batterie"/>
    <n v="18"/>
    <x v="11"/>
  </r>
  <r>
    <x v="47"/>
    <x v="7"/>
    <n v="2017"/>
    <s v="NCM-C"/>
    <x v="1"/>
    <s v="kg CO2/kWh Batterie"/>
    <n v="240"/>
    <s v="kg CO2/kg Batterie"/>
    <n v="22.391999999999999"/>
    <x v="11"/>
  </r>
  <r>
    <x v="48"/>
    <x v="13"/>
    <n v="2014"/>
    <s v="NMC"/>
    <x v="1"/>
    <s v="kg CO2/kg Batterie"/>
    <n v="25"/>
    <s v="kg CO2/kg Batterie"/>
    <n v="25"/>
    <x v="11"/>
  </r>
  <r>
    <x v="49"/>
    <x v="7"/>
    <n v="2017"/>
    <s v="LCO-C"/>
    <x v="1"/>
    <s v="kg CO2/kWh Batterie"/>
    <n v="54"/>
    <s v="kg CO2/kg Batterie"/>
    <n v="6.4799999999999995"/>
    <x v="12"/>
  </r>
  <r>
    <x v="50"/>
    <x v="7"/>
    <n v="2017"/>
    <s v="LCO-C (polymer)"/>
    <x v="1"/>
    <s v="kg CO2/kWh Batterie"/>
    <n v="54"/>
    <s v="kg CO2/kg Batterie"/>
    <n v="7.5600000000000005"/>
    <x v="12"/>
  </r>
  <r>
    <x v="51"/>
    <x v="14"/>
    <n v="2016"/>
    <s v="LMO"/>
    <x v="1"/>
    <s v="kg CO2/kWh Batterie"/>
    <n v="39"/>
    <s v="kg CO2/kg Batterie"/>
    <n v="5.07"/>
    <x v="13"/>
  </r>
  <r>
    <x v="52"/>
    <x v="14"/>
    <n v="2016"/>
    <s v="LMO"/>
    <x v="1"/>
    <s v="kg CO2/kWh Batterie"/>
    <n v="63.5"/>
    <s v="kg CO2/kg Batterie"/>
    <n v="5.08"/>
    <x v="13"/>
  </r>
  <r>
    <x v="53"/>
    <x v="14"/>
    <n v="2016"/>
    <s v="LMO"/>
    <x v="1"/>
    <s v="kg CO2/kWh Batterie"/>
    <n v="53"/>
    <s v="kg CO2/kg Batterie"/>
    <n v="6.0419999999999998"/>
    <x v="13"/>
  </r>
  <r>
    <x v="54"/>
    <x v="7"/>
    <n v="2017"/>
    <s v="NCM-C"/>
    <x v="1"/>
    <s v="kg CO2/kWh Batterie"/>
    <n v="119"/>
    <s v="kg CO2/kg Batterie"/>
    <n v="11.9"/>
    <x v="13"/>
  </r>
  <r>
    <x v="55"/>
    <x v="14"/>
    <n v="2016"/>
    <s v="NCM"/>
    <x v="1"/>
    <s v="kg CO2/kWh Batterie"/>
    <n v="172"/>
    <s v="kg CO2/kg Batterie"/>
    <n v="18.920000000000002"/>
    <x v="13"/>
  </r>
  <r>
    <x v="56"/>
    <x v="15"/>
    <n v="2016"/>
    <m/>
    <x v="1"/>
    <s v="g CO2/km"/>
    <n v="41"/>
    <s v="kg CO2/kg Batterie"/>
    <n v="19.339622641509436"/>
    <x v="13"/>
  </r>
  <r>
    <x v="57"/>
    <x v="14"/>
    <n v="2016"/>
    <s v="NCM"/>
    <x v="1"/>
    <s v="kg CO2/kWh Batterie"/>
    <n v="196"/>
    <s v="kg CO2/kg Batterie"/>
    <n v="21.56"/>
    <x v="13"/>
  </r>
  <r>
    <x v="58"/>
    <x v="7"/>
    <n v="2017"/>
    <s v="LFP-Li"/>
    <x v="1"/>
    <s v="kg CO2/kWh Batterie"/>
    <n v="215"/>
    <s v="kg CO2/kg Batterie"/>
    <n v="25.155000000000001"/>
    <x v="13"/>
  </r>
  <r>
    <x v="59"/>
    <x v="16"/>
    <n v="2017"/>
    <s v="L(R)NM"/>
    <x v="1"/>
    <s v="kg CO2/kWh Batterie"/>
    <n v="78.693749999999994"/>
    <s v="kg CO2/kg Batterie"/>
    <n v="18.099562500000001"/>
    <x v="0"/>
  </r>
  <r>
    <x v="60"/>
    <x v="0"/>
    <n v="2017"/>
    <s v="NMC-Graphite"/>
    <x v="1"/>
    <s v="kg CO2/km"/>
    <n v="4.3900000000000002E-2"/>
    <s v="kg CO2/kg Batterie"/>
    <n v="18.103092783505154"/>
    <x v="0"/>
  </r>
  <r>
    <x v="61"/>
    <x v="1"/>
    <n v="2017"/>
    <s v="NMC"/>
    <x v="1"/>
    <s v="kg CO2/km"/>
    <n v="5.4899999999999997E-2"/>
    <s v="kg CO2/kg Batterie"/>
    <n v="20.677966101694917"/>
    <x v="0"/>
  </r>
  <r>
    <x v="62"/>
    <x v="0"/>
    <n v="2017"/>
    <s v="NMC-MoS2"/>
    <x v="1"/>
    <s v="kg CO2/km"/>
    <n v="5.4399999999999997E-2"/>
    <s v="kg CO2/kg Batterie"/>
    <n v="28.631578947368421"/>
    <x v="0"/>
  </r>
  <r>
    <x v="63"/>
    <x v="1"/>
    <n v="2017"/>
    <s v="Li-S"/>
    <x v="1"/>
    <s v="kg CO2/km"/>
    <n v="4.48E-2"/>
    <s v="kg CO2/kg Batterie"/>
    <n v="32.11469534050179"/>
    <x v="0"/>
  </r>
  <r>
    <x v="64"/>
    <x v="17"/>
    <n v="2018"/>
    <s v="NMC-C"/>
    <x v="1"/>
    <s v="kg CO2/kWh Batterie"/>
    <n v="168.68"/>
    <s v="kg CO2/kg Batterie"/>
    <n v="21.422360000000001"/>
    <x v="14"/>
  </r>
  <r>
    <x v="65"/>
    <x v="17"/>
    <n v="2018"/>
    <s v="NMC-Li"/>
    <x v="1"/>
    <s v="kg CO2/kWh Batterie"/>
    <n v="111.37"/>
    <s v="kg CO2/kg Batterie"/>
    <n v="23.610440000000001"/>
    <x v="14"/>
  </r>
  <r>
    <x v="66"/>
    <x v="17"/>
    <n v="2018"/>
    <s v="NMC-SiNWs"/>
    <x v="1"/>
    <s v="kg CO2/kWh Batterie"/>
    <n v="222.13"/>
    <s v="kg CO2/kg Batterie"/>
    <n v="36.429320000000004"/>
    <x v="14"/>
  </r>
  <r>
    <x v="67"/>
    <x v="18"/>
    <n v="2019"/>
    <s v="LMO-Graphite"/>
    <x v="1"/>
    <s v="g CO2/Wh"/>
    <n v="118"/>
    <s v="kg CO2/kg Batterie"/>
    <n v="14.75"/>
    <x v="1"/>
  </r>
  <r>
    <x v="68"/>
    <x v="19"/>
    <n v="2019"/>
    <m/>
    <x v="1"/>
    <s v="kg CO2/kWh Batterie"/>
    <n v="313"/>
    <s v="kg CO2/kg Batterie"/>
    <n v="20.389714285714287"/>
    <x v="1"/>
  </r>
  <r>
    <x v="69"/>
    <x v="2"/>
    <n v="2019"/>
    <s v="NMC-Graphite"/>
    <x v="1"/>
    <s v="kg CO2/km"/>
    <n v="4.82E-2"/>
    <s v="kg CO2/kg Batterie"/>
    <n v="23.117505995203835"/>
    <x v="1"/>
  </r>
  <r>
    <x v="70"/>
    <x v="18"/>
    <n v="2019"/>
    <s v="NCA-Graphite"/>
    <x v="1"/>
    <s v="g CO2/Wh"/>
    <n v="104"/>
    <s v="kg CO2/kg Batterie"/>
    <n v="26"/>
    <x v="1"/>
  </r>
  <r>
    <x v="71"/>
    <x v="18"/>
    <n v="2019"/>
    <s v="LCO-Graphite"/>
    <x v="1"/>
    <s v="g CO2/Wh"/>
    <n v="161"/>
    <s v="kg CO2/kg Batterie"/>
    <n v="32.200000000000003"/>
    <x v="1"/>
  </r>
  <r>
    <x v="72"/>
    <x v="2"/>
    <n v="2019"/>
    <s v="NMC-SiNT"/>
    <x v="1"/>
    <s v="kg CO2/km"/>
    <n v="6.6699999999999995E-2"/>
    <s v="kg CO2/kg Batterie"/>
    <n v="41.687499999999993"/>
    <x v="1"/>
  </r>
  <r>
    <x v="73"/>
    <x v="18"/>
    <n v="2019"/>
    <s v="Li2O-SiO"/>
    <x v="1"/>
    <s v="g CO2/Wh"/>
    <n v="92"/>
    <s v="kg CO2/kg Batterie"/>
    <n v="16.559999999999999"/>
    <x v="15"/>
  </r>
  <r>
    <x v="74"/>
    <x v="18"/>
    <n v="2019"/>
    <s v="Li2O-SiO"/>
    <x v="1"/>
    <s v="g CO2/Wh"/>
    <n v="37"/>
    <s v="kg CO2/kg Batterie"/>
    <n v="17.02"/>
    <x v="15"/>
  </r>
  <r>
    <x v="75"/>
    <x v="18"/>
    <n v="2019"/>
    <s v="Li2O-SiO"/>
    <x v="1"/>
    <s v="g CO2/Wh"/>
    <n v="55"/>
    <s v="kg CO2/kg Batterie"/>
    <n v="17.05"/>
    <x v="15"/>
  </r>
  <r>
    <x v="76"/>
    <x v="20"/>
    <n v="2006"/>
    <m/>
    <x v="2"/>
    <s v="Wh/kg"/>
    <n v="5"/>
    <s v="kWh/kg"/>
    <n v="5.0000000000000001E-3"/>
    <x v="16"/>
  </r>
  <r>
    <x v="77"/>
    <x v="20"/>
    <n v="2006"/>
    <m/>
    <x v="2"/>
    <s v="Wh/kg"/>
    <n v="20"/>
    <s v="kWh/kg"/>
    <n v="0.02"/>
    <x v="16"/>
  </r>
  <r>
    <x v="78"/>
    <x v="21"/>
    <n v="2012"/>
    <s v="NaClNi"/>
    <x v="2"/>
    <s v="Wh/kg"/>
    <n v="50"/>
    <s v="kWh/kg"/>
    <n v="0.05"/>
    <x v="17"/>
  </r>
  <r>
    <x v="79"/>
    <x v="22"/>
    <n v="2017"/>
    <m/>
    <x v="2"/>
    <s v="Wh/kg"/>
    <n v="60"/>
    <s v="kWh/kg"/>
    <n v="0.06"/>
    <x v="0"/>
  </r>
  <r>
    <x v="80"/>
    <x v="23"/>
    <n v="2009"/>
    <s v="LMO"/>
    <x v="2"/>
    <s v="Wh/kg"/>
    <n v="80"/>
    <s v="kWh/kg"/>
    <n v="0.08"/>
    <x v="6"/>
  </r>
  <r>
    <x v="81"/>
    <x v="14"/>
    <n v="2016"/>
    <s v="LMO"/>
    <x v="2"/>
    <s v="kWh/kg"/>
    <n v="0.08"/>
    <s v="kWh/kg"/>
    <n v="0.08"/>
    <x v="13"/>
  </r>
  <r>
    <x v="82"/>
    <x v="24"/>
    <n v="2019"/>
    <s v="LMO-NMC"/>
    <x v="2"/>
    <s v="Wh/kg"/>
    <n v="82"/>
    <s v="kWh/kg"/>
    <n v="8.2000000000000003E-2"/>
    <x v="1"/>
  </r>
  <r>
    <x v="83"/>
    <x v="21"/>
    <n v="2011"/>
    <s v="Li-titanat"/>
    <x v="2"/>
    <s v="Wh/kg"/>
    <n v="85"/>
    <s v="kWh/kg"/>
    <n v="8.5000000000000006E-2"/>
    <x v="17"/>
  </r>
  <r>
    <x v="84"/>
    <x v="25"/>
    <n v="2015"/>
    <m/>
    <x v="2"/>
    <s v="Wh/kg"/>
    <n v="85"/>
    <s v="kWh/kg"/>
    <n v="8.5000000000000006E-2"/>
    <x v="12"/>
  </r>
  <r>
    <x v="85"/>
    <x v="20"/>
    <n v="2006"/>
    <m/>
    <x v="2"/>
    <s v="Wh/kg"/>
    <n v="100"/>
    <s v="kWh/kg"/>
    <n v="0.1"/>
    <x v="16"/>
  </r>
  <r>
    <x v="86"/>
    <x v="0"/>
    <n v="2017"/>
    <s v="NMC-Graphite"/>
    <x v="2"/>
    <s v="kWh/kg"/>
    <n v="0.105"/>
    <s v="kWh/kg"/>
    <n v="0.105"/>
    <x v="0"/>
  </r>
  <r>
    <x v="87"/>
    <x v="26"/>
    <n v="2009"/>
    <s v="LFP"/>
    <x v="2"/>
    <s v="Wh/kg"/>
    <n v="108"/>
    <s v="kWh/kg"/>
    <n v="0.108"/>
    <x v="6"/>
  </r>
  <r>
    <x v="88"/>
    <x v="14"/>
    <n v="2016"/>
    <s v="NCM"/>
    <x v="2"/>
    <s v="kWh/kg"/>
    <n v="0.11"/>
    <s v="kWh/kg"/>
    <n v="0.11"/>
    <x v="13"/>
  </r>
  <r>
    <x v="89"/>
    <x v="14"/>
    <n v="2016"/>
    <s v="NCM"/>
    <x v="2"/>
    <s v="kWh/kg"/>
    <n v="0.112"/>
    <s v="kWh/kg"/>
    <n v="0.112"/>
    <x v="13"/>
  </r>
  <r>
    <x v="90"/>
    <x v="14"/>
    <n v="2016"/>
    <s v="LMO"/>
    <x v="2"/>
    <s v="kWh/kg"/>
    <n v="0.114"/>
    <s v="kWh/kg"/>
    <n v="0.114"/>
    <x v="13"/>
  </r>
  <r>
    <x v="91"/>
    <x v="25"/>
    <n v="2015"/>
    <m/>
    <x v="2"/>
    <s v="Wh/kg"/>
    <n v="115"/>
    <s v="kWh/kg"/>
    <n v="0.115"/>
    <x v="12"/>
  </r>
  <r>
    <x v="92"/>
    <x v="21"/>
    <n v="2012"/>
    <s v="NaClNi"/>
    <x v="2"/>
    <s v="Wh/kg"/>
    <n v="120"/>
    <s v="kWh/kg"/>
    <n v="0.12"/>
    <x v="17"/>
  </r>
  <r>
    <x v="93"/>
    <x v="21"/>
    <n v="2012"/>
    <s v="LiNiMnCo"/>
    <x v="2"/>
    <s v="Wh/kg"/>
    <n v="120"/>
    <s v="kWh/kg"/>
    <n v="0.12"/>
    <x v="17"/>
  </r>
  <r>
    <x v="94"/>
    <x v="1"/>
    <n v="2017"/>
    <s v="NMC"/>
    <x v="2"/>
    <s v="Wh/kg"/>
    <n v="120"/>
    <s v="kWh/kg"/>
    <n v="0.12"/>
    <x v="0"/>
  </r>
  <r>
    <x v="95"/>
    <x v="27"/>
    <n v="2019"/>
    <s v="LMO-Graphite"/>
    <x v="2"/>
    <s v="Wh/kg"/>
    <n v="125"/>
    <s v="kWh/kg"/>
    <n v="0.125"/>
    <x v="1"/>
  </r>
  <r>
    <x v="96"/>
    <x v="14"/>
    <n v="2016"/>
    <s v="LMO"/>
    <x v="2"/>
    <s v="kWh/kg"/>
    <n v="0.13"/>
    <s v="kWh/kg"/>
    <n v="0.13"/>
    <x v="13"/>
  </r>
  <r>
    <x v="97"/>
    <x v="0"/>
    <n v="2017"/>
    <s v="NMC-MoS2"/>
    <x v="2"/>
    <s v="kWh/kg"/>
    <n v="0.13"/>
    <s v="kWh/kg"/>
    <n v="0.13"/>
    <x v="0"/>
  </r>
  <r>
    <x v="98"/>
    <x v="22"/>
    <n v="2017"/>
    <m/>
    <x v="2"/>
    <s v="Wh/kg"/>
    <n v="130"/>
    <s v="kWh/kg"/>
    <n v="0.13"/>
    <x v="0"/>
  </r>
  <r>
    <x v="99"/>
    <x v="24"/>
    <n v="2019"/>
    <s v="NCA"/>
    <x v="2"/>
    <s v="Wh/kg"/>
    <n v="138"/>
    <s v="kWh/kg"/>
    <n v="0.13800000000000001"/>
    <x v="1"/>
  </r>
  <r>
    <x v="100"/>
    <x v="21"/>
    <n v="2012"/>
    <s v="NaClNi"/>
    <x v="2"/>
    <s v="Wh/kg"/>
    <n v="150"/>
    <s v="kWh/kg"/>
    <n v="0.15"/>
    <x v="17"/>
  </r>
  <r>
    <x v="101"/>
    <x v="21"/>
    <n v="2012"/>
    <s v="LiNiMnCo"/>
    <x v="2"/>
    <s v="Wh/kg"/>
    <n v="150"/>
    <s v="kWh/kg"/>
    <n v="0.15"/>
    <x v="17"/>
  </r>
  <r>
    <x v="102"/>
    <x v="21"/>
    <n v="2011"/>
    <s v="Li-titanat"/>
    <x v="2"/>
    <s v="Wh/kg"/>
    <n v="160"/>
    <s v="kWh/kg"/>
    <n v="0.16"/>
    <x v="17"/>
  </r>
  <r>
    <x v="103"/>
    <x v="2"/>
    <n v="2019"/>
    <s v="NMC-Graphite"/>
    <x v="2"/>
    <s v="Wh/kg"/>
    <n v="160"/>
    <s v="kWh/kg"/>
    <n v="0.16"/>
    <x v="1"/>
  </r>
  <r>
    <x v="104"/>
    <x v="28"/>
    <n v="2009"/>
    <s v="LCO"/>
    <x v="2"/>
    <s v="Wh/kg"/>
    <n v="175"/>
    <s v="kWh/kg"/>
    <n v="0.17499999999999999"/>
    <x v="6"/>
  </r>
  <r>
    <x v="105"/>
    <x v="27"/>
    <n v="2019"/>
    <s v="Li2O-SiO"/>
    <x v="2"/>
    <s v="Wh/kg"/>
    <n v="180"/>
    <s v="kWh/kg"/>
    <n v="0.18"/>
    <x v="1"/>
  </r>
  <r>
    <x v="106"/>
    <x v="2"/>
    <n v="2019"/>
    <s v="NMC-SiNT"/>
    <x v="2"/>
    <s v="Wh/kg"/>
    <n v="199"/>
    <s v="kWh/kg"/>
    <n v="0.19900000000000001"/>
    <x v="1"/>
  </r>
  <r>
    <x v="107"/>
    <x v="20"/>
    <n v="2006"/>
    <m/>
    <x v="2"/>
    <s v="Wh/kg"/>
    <n v="200"/>
    <s v="kWh/kg"/>
    <n v="0.2"/>
    <x v="16"/>
  </r>
  <r>
    <x v="108"/>
    <x v="22"/>
    <n v="2017"/>
    <m/>
    <x v="2"/>
    <s v="Wh/kg"/>
    <n v="200"/>
    <s v="kWh/kg"/>
    <n v="0.2"/>
    <x v="0"/>
  </r>
  <r>
    <x v="109"/>
    <x v="27"/>
    <n v="2019"/>
    <s v="LCO-Graphite"/>
    <x v="2"/>
    <s v="Wh/kg"/>
    <n v="200"/>
    <s v="kWh/kg"/>
    <n v="0.2"/>
    <x v="1"/>
  </r>
  <r>
    <x v="110"/>
    <x v="1"/>
    <n v="2017"/>
    <s v="Li-S"/>
    <x v="2"/>
    <s v="Wh/kg"/>
    <n v="220"/>
    <s v="kWh/kg"/>
    <n v="0.22"/>
    <x v="0"/>
  </r>
  <r>
    <x v="111"/>
    <x v="22"/>
    <n v="2017"/>
    <m/>
    <x v="2"/>
    <s v="Wh/kg"/>
    <n v="250"/>
    <s v="kWh/kg"/>
    <n v="0.25"/>
    <x v="0"/>
  </r>
  <r>
    <x v="112"/>
    <x v="22"/>
    <n v="2017"/>
    <m/>
    <x v="2"/>
    <s v="Wh/kg"/>
    <n v="250"/>
    <s v="kWh/kg"/>
    <n v="0.25"/>
    <x v="0"/>
  </r>
  <r>
    <x v="113"/>
    <x v="27"/>
    <n v="2019"/>
    <s v="NCA-Graphite"/>
    <x v="2"/>
    <s v="Wh/kg"/>
    <n v="250"/>
    <s v="kWh/kg"/>
    <n v="0.25"/>
    <x v="1"/>
  </r>
  <r>
    <x v="114"/>
    <x v="29"/>
    <n v="2015"/>
    <m/>
    <x v="2"/>
    <s v="Wh/kg"/>
    <n v="250"/>
    <s v="kWh/kg"/>
    <n v="0.25"/>
    <x v="18"/>
  </r>
  <r>
    <x v="115"/>
    <x v="27"/>
    <n v="2019"/>
    <s v="Li2O-SiO"/>
    <x v="2"/>
    <s v="Wh/kg"/>
    <n v="310"/>
    <s v="kWh/kg"/>
    <n v="0.31"/>
    <x v="15"/>
  </r>
  <r>
    <x v="116"/>
    <x v="22"/>
    <n v="2017"/>
    <s v="Li-Si"/>
    <x v="2"/>
    <s v="Wh/kg"/>
    <n v="400"/>
    <s v="kWh/kg"/>
    <n v="0.4"/>
    <x v="0"/>
  </r>
  <r>
    <x v="117"/>
    <x v="27"/>
    <n v="2019"/>
    <s v="Li2O-SiO"/>
    <x v="2"/>
    <s v="Wh/kg"/>
    <n v="460"/>
    <s v="kWh/kg"/>
    <n v="0.46"/>
    <x v="15"/>
  </r>
  <r>
    <x v="118"/>
    <x v="22"/>
    <n v="2017"/>
    <s v="Li-Si"/>
    <x v="2"/>
    <s v="Wh/kg"/>
    <n v="500"/>
    <s v="kWh/kg"/>
    <n v="0.5"/>
    <x v="0"/>
  </r>
  <r>
    <x v="119"/>
    <x v="29"/>
    <n v="2015"/>
    <m/>
    <x v="2"/>
    <s v="Wh/kg"/>
    <n v="500"/>
    <s v="kWh/kg"/>
    <n v="0.5"/>
    <x v="19"/>
  </r>
  <r>
    <x v="120"/>
    <x v="29"/>
    <n v="2015"/>
    <m/>
    <x v="2"/>
    <s v="Wh/kg"/>
    <n v="700"/>
    <s v="kWh/kg"/>
    <n v="0.7"/>
    <x v="2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1">
  <r>
    <x v="0"/>
    <x v="0"/>
    <n v="2017"/>
    <s v="NMC-MoS2"/>
    <x v="0"/>
    <s v="kg CO2/km"/>
    <n v="1.73E-3"/>
    <s v="kg CO2/kg Batterie"/>
    <n v="0.91052631578947374"/>
    <x v="0"/>
  </r>
  <r>
    <x v="1"/>
    <x v="1"/>
    <n v="2017"/>
    <s v="Li-S"/>
    <x v="0"/>
    <s v="kg CO2/km"/>
    <n v="1.2800000000000001E-3"/>
    <s v="kg CO2/kg Batterie"/>
    <n v="0.91756272401433692"/>
    <x v="0"/>
  </r>
  <r>
    <x v="2"/>
    <x v="0"/>
    <n v="2017"/>
    <s v="NMC-Graphite"/>
    <x v="0"/>
    <s v="kg CO2/km"/>
    <n v="2.2300000000000002E-3"/>
    <s v="kg CO2/kg Batterie"/>
    <n v="0.91958762886597945"/>
    <x v="0"/>
  </r>
  <r>
    <x v="3"/>
    <x v="1"/>
    <n v="2017"/>
    <s v="NMC"/>
    <x v="0"/>
    <s v="kg CO2/km"/>
    <n v="2.5699999999999998E-3"/>
    <s v="kg CO2/kg Batterie"/>
    <n v="0.967984934086629"/>
    <x v="0"/>
  </r>
  <r>
    <x v="4"/>
    <x v="2"/>
    <n v="2019"/>
    <s v="NMC-SiNT"/>
    <x v="0"/>
    <s v="kg CO2/km"/>
    <n v="1.5100000000000001E-3"/>
    <s v="kg CO2/kg Batterie"/>
    <n v="0.94374999999999998"/>
    <x v="1"/>
  </r>
  <r>
    <x v="5"/>
    <x v="2"/>
    <n v="2019"/>
    <s v="NMC-Graphite"/>
    <x v="0"/>
    <s v="kg CO2/km"/>
    <n v="2.0200000000000001E-3"/>
    <s v="kg CO2/kg Batterie"/>
    <n v="0.9688249400479616"/>
    <x v="1"/>
  </r>
  <r>
    <x v="6"/>
    <x v="3"/>
    <n v="2019"/>
    <m/>
    <x v="0"/>
    <s v="kg CO2/kWh Batterie"/>
    <n v="15.65"/>
    <s v="kg CO2/kg Batterie"/>
    <n v="1.0194857142857143"/>
    <x v="1"/>
  </r>
  <r>
    <x v="7"/>
    <x v="4"/>
    <n v="2019"/>
    <s v="LMO-NMC"/>
    <x v="0"/>
    <s v="kg CO2/kWh Batterie"/>
    <n v="16.256140350877196"/>
    <s v="kg CO2/kg Batterie"/>
    <n v="1.0589714285714289"/>
    <x v="1"/>
  </r>
  <r>
    <x v="8"/>
    <x v="5"/>
    <n v="2019"/>
    <m/>
    <x v="0"/>
    <s v="kg CO2/kg Batterie"/>
    <n v="1.19"/>
    <s v="kg CO2/kg Batterie"/>
    <n v="1.19"/>
    <x v="1"/>
  </r>
  <r>
    <x v="9"/>
    <x v="6"/>
    <n v="2012"/>
    <s v="LiNiCo"/>
    <x v="1"/>
    <s v="kg CO2/kWh Batterie"/>
    <n v="75"/>
    <s v="kg CO2/kg Batterie"/>
    <n v="10.125"/>
    <x v="2"/>
  </r>
  <r>
    <x v="10"/>
    <x v="6"/>
    <n v="2012"/>
    <s v="LiMn"/>
    <x v="1"/>
    <s v="kg CO2/kWh Batterie"/>
    <n v="75"/>
    <s v="kg CO2/kg Batterie"/>
    <n v="10.125"/>
    <x v="2"/>
  </r>
  <r>
    <x v="11"/>
    <x v="7"/>
    <n v="2017"/>
    <s v="LVO-C (SS)"/>
    <x v="1"/>
    <s v="kg CO2/kWh Batterie"/>
    <n v="36"/>
    <s v="kg CO2/kg Batterie"/>
    <n v="4.7520000000000007"/>
    <x v="3"/>
  </r>
  <r>
    <x v="12"/>
    <x v="7"/>
    <n v="2017"/>
    <s v="LCO-C (SS)"/>
    <x v="1"/>
    <s v="kg CO2/kWh Batterie"/>
    <n v="38"/>
    <s v="kg CO2/kg Batterie"/>
    <n v="5.7"/>
    <x v="3"/>
  </r>
  <r>
    <x v="13"/>
    <x v="7"/>
    <n v="2017"/>
    <s v="LMO-C (SS)"/>
    <x v="1"/>
    <s v="kg CO2/kWh Batterie"/>
    <n v="50"/>
    <s v="kg CO2/kg Batterie"/>
    <n v="5.75"/>
    <x v="3"/>
  </r>
  <r>
    <x v="14"/>
    <x v="7"/>
    <n v="2017"/>
    <s v="NCA-C (SS)"/>
    <x v="1"/>
    <s v="kg CO2/kWh Batterie"/>
    <n v="50"/>
    <s v="kg CO2/kg Batterie"/>
    <n v="6.6000000000000005"/>
    <x v="3"/>
  </r>
  <r>
    <x v="15"/>
    <x v="7"/>
    <n v="2017"/>
    <s v="NCM-C (SS)"/>
    <x v="1"/>
    <s v="kg CO2/kWh Batterie"/>
    <n v="51"/>
    <s v="kg CO2/kg Batterie"/>
    <n v="6.7320000000000002"/>
    <x v="3"/>
  </r>
  <r>
    <x v="16"/>
    <x v="7"/>
    <n v="2017"/>
    <s v="LMO-C"/>
    <x v="1"/>
    <s v="kg CO2/kWh Batterie"/>
    <n v="62.5"/>
    <s v="kg CO2/kg Batterie"/>
    <n v="7.1875"/>
    <x v="3"/>
  </r>
  <r>
    <x v="17"/>
    <x v="7"/>
    <n v="2017"/>
    <s v="CMO-C (SS)"/>
    <x v="1"/>
    <s v="kg CO2/kWh Batterie"/>
    <n v="56"/>
    <s v="kg CO2/kg Batterie"/>
    <n v="7.3920000000000003"/>
    <x v="3"/>
  </r>
  <r>
    <x v="18"/>
    <x v="7"/>
    <n v="2017"/>
    <s v="LCO-C"/>
    <x v="1"/>
    <s v="kg CO2/kWh Batterie"/>
    <n v="53"/>
    <s v="kg CO2/kg Batterie"/>
    <n v="7.9499999999999993"/>
    <x v="3"/>
  </r>
  <r>
    <x v="19"/>
    <x v="7"/>
    <n v="2017"/>
    <s v="NCM-C"/>
    <x v="1"/>
    <s v="kg CO2/kWh Batterie"/>
    <n v="87"/>
    <s v="kg CO2/kg Batterie"/>
    <n v="11.484"/>
    <x v="3"/>
  </r>
  <r>
    <x v="20"/>
    <x v="7"/>
    <n v="2017"/>
    <s v="LMO-C"/>
    <x v="1"/>
    <s v="kg CO2/kWh Batterie"/>
    <n v="40.6"/>
    <s v="kg CO2/kg Batterie"/>
    <n v="5.8260999999999994"/>
    <x v="4"/>
  </r>
  <r>
    <x v="21"/>
    <x v="7"/>
    <n v="2017"/>
    <s v="NCA-C"/>
    <x v="1"/>
    <s v="kg CO2/kWh Batterie"/>
    <n v="170"/>
    <s v="kg CO2/kg Batterie"/>
    <n v="17"/>
    <x v="4"/>
  </r>
  <r>
    <x v="22"/>
    <x v="7"/>
    <n v="2017"/>
    <s v="NCA-C"/>
    <x v="1"/>
    <s v="kg CO2/kWh Batterie"/>
    <n v="120"/>
    <s v="kg CO2/kg Batterie"/>
    <n v="12"/>
    <x v="5"/>
  </r>
  <r>
    <x v="23"/>
    <x v="8"/>
    <n v="2008"/>
    <m/>
    <x v="1"/>
    <s v="kg CO2/kWh Batterie"/>
    <n v="120"/>
    <s v="kg CO2/kg Batterie"/>
    <n v="12"/>
    <x v="5"/>
  </r>
  <r>
    <x v="24"/>
    <x v="7"/>
    <n v="2017"/>
    <m/>
    <x v="1"/>
    <s v="kg CO2/kWh Batterie"/>
    <n v="54.8"/>
    <s v="kg CO2/kg Batterie"/>
    <n v="6.85"/>
    <x v="6"/>
  </r>
  <r>
    <x v="25"/>
    <x v="9"/>
    <n v="2010"/>
    <m/>
    <x v="1"/>
    <s v="kg CO2/kg Batterie"/>
    <n v="6"/>
    <s v="kg CO2/kg Batterie"/>
    <n v="6"/>
    <x v="7"/>
  </r>
  <r>
    <x v="26"/>
    <x v="6"/>
    <n v="2012"/>
    <s v="LMO"/>
    <x v="1"/>
    <s v="kg CO2/kWh Batterie"/>
    <n v="52"/>
    <s v="kg CO2/kg Batterie"/>
    <n v="7.0200000000000005"/>
    <x v="7"/>
  </r>
  <r>
    <x v="27"/>
    <x v="7"/>
    <n v="2017"/>
    <s v="NCA-C"/>
    <x v="1"/>
    <s v="kg CO2/kWh Batterie"/>
    <n v="72"/>
    <s v="kg CO2/kg Batterie"/>
    <n v="7.2"/>
    <x v="7"/>
  </r>
  <r>
    <x v="28"/>
    <x v="7"/>
    <n v="2017"/>
    <s v="NCA-C"/>
    <x v="1"/>
    <s v="kg CO2/kWh Batterie"/>
    <n v="133"/>
    <s v="kg CO2/kg Batterie"/>
    <n v="13.3"/>
    <x v="7"/>
  </r>
  <r>
    <x v="29"/>
    <x v="10"/>
    <n v="2018"/>
    <s v="LMO-C"/>
    <x v="1"/>
    <s v="kg CO2/kg Batterie"/>
    <n v="13.5"/>
    <s v="kg CO2/kg Batterie"/>
    <n v="13.5"/>
    <x v="7"/>
  </r>
  <r>
    <x v="30"/>
    <x v="10"/>
    <n v="2018"/>
    <s v="LFP-C"/>
    <x v="1"/>
    <s v="kg CO2/kg Batterie"/>
    <n v="14"/>
    <s v="kg CO2/kg Batterie"/>
    <n v="14"/>
    <x v="7"/>
  </r>
  <r>
    <x v="31"/>
    <x v="10"/>
    <n v="2018"/>
    <s v="LFP-LTO"/>
    <x v="1"/>
    <s v="kg CO2/kg Batterie"/>
    <n v="14"/>
    <s v="kg CO2/kg Batterie"/>
    <n v="14"/>
    <x v="7"/>
  </r>
  <r>
    <x v="32"/>
    <x v="10"/>
    <n v="2018"/>
    <s v="NCA-C"/>
    <x v="1"/>
    <s v="kg CO2/kg Batterie"/>
    <n v="15.3"/>
    <s v="kg CO2/kg Batterie"/>
    <n v="15.3"/>
    <x v="7"/>
  </r>
  <r>
    <x v="33"/>
    <x v="11"/>
    <n v="2010"/>
    <m/>
    <x v="1"/>
    <s v="kg CO2/kWh Batterie"/>
    <n v="166"/>
    <s v="kg CO2/kg Batterie"/>
    <n v="15.438000000000001"/>
    <x v="7"/>
  </r>
  <r>
    <x v="34"/>
    <x v="6"/>
    <n v="2012"/>
    <s v="LFP"/>
    <x v="1"/>
    <s v="kg CO2/kWh Batterie"/>
    <n v="166"/>
    <s v="kg CO2/kg Batterie"/>
    <n v="19.919999999999998"/>
    <x v="7"/>
  </r>
  <r>
    <x v="35"/>
    <x v="7"/>
    <n v="2017"/>
    <s v="LFP-LTO"/>
    <x v="1"/>
    <s v="kg CO2/kWh Batterie"/>
    <n v="338"/>
    <s v="kg CO2/kg Batterie"/>
    <n v="33.800000000000004"/>
    <x v="7"/>
  </r>
  <r>
    <x v="36"/>
    <x v="7"/>
    <n v="2017"/>
    <s v="LMO-C"/>
    <x v="1"/>
    <s v="kg CO2/kWh Batterie"/>
    <n v="71"/>
    <s v="kg CO2/kg Batterie"/>
    <n v="8.0939999999999994"/>
    <x v="8"/>
  </r>
  <r>
    <x v="37"/>
    <x v="10"/>
    <n v="2018"/>
    <s v="LFP-C"/>
    <x v="1"/>
    <s v="kg CO2/kg Batterie"/>
    <n v="16"/>
    <s v="kg CO2/kg Batterie"/>
    <n v="16"/>
    <x v="8"/>
  </r>
  <r>
    <x v="38"/>
    <x v="10"/>
    <n v="2018"/>
    <s v="NCM-C"/>
    <x v="1"/>
    <s v="kg CO2/kg Batterie"/>
    <n v="16"/>
    <s v="kg CO2/kg Batterie"/>
    <n v="16"/>
    <x v="8"/>
  </r>
  <r>
    <x v="39"/>
    <x v="6"/>
    <n v="2012"/>
    <m/>
    <x v="1"/>
    <s v="kg CO2/kWh Batterie"/>
    <n v="134"/>
    <s v="kg CO2/kg Batterie"/>
    <n v="16.079999999999998"/>
    <x v="8"/>
  </r>
  <r>
    <x v="40"/>
    <x v="12"/>
    <n v="2011"/>
    <s v="NCM"/>
    <x v="1"/>
    <s v="kg CO2/kg Batterie"/>
    <n v="22"/>
    <s v="kg CO2/kg Batterie"/>
    <n v="22"/>
    <x v="8"/>
  </r>
  <r>
    <x v="41"/>
    <x v="12"/>
    <n v="2011"/>
    <s v="LFP"/>
    <x v="1"/>
    <s v="kg CO2/kg Batterie"/>
    <n v="22"/>
    <s v="kg CO2/kg Batterie"/>
    <n v="22"/>
    <x v="8"/>
  </r>
  <r>
    <x v="42"/>
    <x v="7"/>
    <n v="2017"/>
    <s v="LFP-C"/>
    <x v="1"/>
    <s v="kg CO2/kWh Batterie"/>
    <n v="79.099999999999994"/>
    <s v="kg CO2/kg Batterie"/>
    <n v="12.9724"/>
    <x v="9"/>
  </r>
  <r>
    <x v="43"/>
    <x v="7"/>
    <n v="2017"/>
    <s v="NCM-C"/>
    <x v="1"/>
    <s v="kg CO2/kWh Batterie"/>
    <n v="190"/>
    <s v="kg CO2/kg Batterie"/>
    <n v="16.701000000000001"/>
    <x v="10"/>
  </r>
  <r>
    <x v="44"/>
    <x v="7"/>
    <n v="2017"/>
    <s v="LFP-C"/>
    <x v="1"/>
    <s v="kg CO2/kWh Batterie"/>
    <n v="243"/>
    <s v="kg CO2/kg Batterie"/>
    <n v="21.3597"/>
    <x v="10"/>
  </r>
  <r>
    <x v="45"/>
    <x v="10"/>
    <n v="2018"/>
    <s v="NCM-C"/>
    <x v="1"/>
    <s v="kg CO2/kg Batterie"/>
    <n v="14"/>
    <s v="kg CO2/kg Batterie"/>
    <n v="14"/>
    <x v="11"/>
  </r>
  <r>
    <x v="46"/>
    <x v="13"/>
    <n v="2014"/>
    <s v="NMC"/>
    <x v="1"/>
    <s v="kg CO2/kg Batterie"/>
    <n v="18"/>
    <s v="kg CO2/kg Batterie"/>
    <n v="18"/>
    <x v="11"/>
  </r>
  <r>
    <x v="47"/>
    <x v="7"/>
    <n v="2017"/>
    <s v="NCM-C"/>
    <x v="1"/>
    <s v="kg CO2/kWh Batterie"/>
    <n v="240"/>
    <s v="kg CO2/kg Batterie"/>
    <n v="22.391999999999999"/>
    <x v="11"/>
  </r>
  <r>
    <x v="48"/>
    <x v="13"/>
    <n v="2014"/>
    <s v="NMC"/>
    <x v="1"/>
    <s v="kg CO2/kg Batterie"/>
    <n v="25"/>
    <s v="kg CO2/kg Batterie"/>
    <n v="25"/>
    <x v="11"/>
  </r>
  <r>
    <x v="49"/>
    <x v="7"/>
    <n v="2017"/>
    <s v="LCO-C"/>
    <x v="1"/>
    <s v="kg CO2/kWh Batterie"/>
    <n v="54"/>
    <s v="kg CO2/kg Batterie"/>
    <n v="6.4799999999999995"/>
    <x v="12"/>
  </r>
  <r>
    <x v="50"/>
    <x v="7"/>
    <n v="2017"/>
    <s v="LCO-C (polymer)"/>
    <x v="1"/>
    <s v="kg CO2/kWh Batterie"/>
    <n v="54"/>
    <s v="kg CO2/kg Batterie"/>
    <n v="7.5600000000000005"/>
    <x v="12"/>
  </r>
  <r>
    <x v="51"/>
    <x v="14"/>
    <n v="2016"/>
    <s v="LMO"/>
    <x v="1"/>
    <s v="kg CO2/kWh Batterie"/>
    <n v="39"/>
    <s v="kg CO2/kg Batterie"/>
    <n v="5.07"/>
    <x v="13"/>
  </r>
  <r>
    <x v="52"/>
    <x v="14"/>
    <n v="2016"/>
    <s v="LMO"/>
    <x v="1"/>
    <s v="kg CO2/kWh Batterie"/>
    <n v="63.5"/>
    <s v="kg CO2/kg Batterie"/>
    <n v="5.08"/>
    <x v="13"/>
  </r>
  <r>
    <x v="53"/>
    <x v="14"/>
    <n v="2016"/>
    <s v="LMO"/>
    <x v="1"/>
    <s v="kg CO2/kWh Batterie"/>
    <n v="53"/>
    <s v="kg CO2/kg Batterie"/>
    <n v="6.0419999999999998"/>
    <x v="13"/>
  </r>
  <r>
    <x v="54"/>
    <x v="7"/>
    <n v="2017"/>
    <s v="NCM-C"/>
    <x v="1"/>
    <s v="kg CO2/kWh Batterie"/>
    <n v="119"/>
    <s v="kg CO2/kg Batterie"/>
    <n v="11.9"/>
    <x v="13"/>
  </r>
  <r>
    <x v="55"/>
    <x v="14"/>
    <n v="2016"/>
    <s v="NCM"/>
    <x v="1"/>
    <s v="kg CO2/kWh Batterie"/>
    <n v="172"/>
    <s v="kg CO2/kg Batterie"/>
    <n v="18.920000000000002"/>
    <x v="13"/>
  </r>
  <r>
    <x v="56"/>
    <x v="15"/>
    <n v="2016"/>
    <m/>
    <x v="1"/>
    <s v="g CO2/km"/>
    <n v="41"/>
    <s v="kg CO2/kg Batterie"/>
    <n v="19.339622641509436"/>
    <x v="13"/>
  </r>
  <r>
    <x v="57"/>
    <x v="14"/>
    <n v="2016"/>
    <s v="NCM"/>
    <x v="1"/>
    <s v="kg CO2/kWh Batterie"/>
    <n v="196"/>
    <s v="kg CO2/kg Batterie"/>
    <n v="21.56"/>
    <x v="13"/>
  </r>
  <r>
    <x v="58"/>
    <x v="7"/>
    <n v="2017"/>
    <s v="LFP-Li"/>
    <x v="1"/>
    <s v="kg CO2/kWh Batterie"/>
    <n v="215"/>
    <s v="kg CO2/kg Batterie"/>
    <n v="25.155000000000001"/>
    <x v="13"/>
  </r>
  <r>
    <x v="59"/>
    <x v="16"/>
    <n v="2017"/>
    <s v="L(R)NM"/>
    <x v="1"/>
    <s v="kg CO2/kWh Batterie"/>
    <n v="78.693749999999994"/>
    <s v="kg CO2/kg Batterie"/>
    <n v="18.099562500000001"/>
    <x v="0"/>
  </r>
  <r>
    <x v="60"/>
    <x v="0"/>
    <n v="2017"/>
    <s v="NMC-Graphite"/>
    <x v="1"/>
    <s v="kg CO2/km"/>
    <n v="4.3900000000000002E-2"/>
    <s v="kg CO2/kg Batterie"/>
    <n v="18.103092783505154"/>
    <x v="0"/>
  </r>
  <r>
    <x v="61"/>
    <x v="1"/>
    <n v="2017"/>
    <s v="NMC"/>
    <x v="1"/>
    <s v="kg CO2/km"/>
    <n v="5.4899999999999997E-2"/>
    <s v="kg CO2/kg Batterie"/>
    <n v="20.677966101694917"/>
    <x v="0"/>
  </r>
  <r>
    <x v="62"/>
    <x v="0"/>
    <n v="2017"/>
    <s v="NMC-MoS2"/>
    <x v="1"/>
    <s v="kg CO2/km"/>
    <n v="5.4399999999999997E-2"/>
    <s v="kg CO2/kg Batterie"/>
    <n v="28.631578947368421"/>
    <x v="0"/>
  </r>
  <r>
    <x v="63"/>
    <x v="1"/>
    <n v="2017"/>
    <s v="Li-S"/>
    <x v="1"/>
    <s v="kg CO2/km"/>
    <n v="4.48E-2"/>
    <s v="kg CO2/kg Batterie"/>
    <n v="32.11469534050179"/>
    <x v="0"/>
  </r>
  <r>
    <x v="64"/>
    <x v="17"/>
    <n v="2018"/>
    <s v="NMC-C"/>
    <x v="1"/>
    <s v="kg CO2/kWh Batterie"/>
    <n v="168.68"/>
    <s v="kg CO2/kg Batterie"/>
    <n v="21.422360000000001"/>
    <x v="14"/>
  </r>
  <r>
    <x v="65"/>
    <x v="17"/>
    <n v="2018"/>
    <s v="NMC-Li"/>
    <x v="1"/>
    <s v="kg CO2/kWh Batterie"/>
    <n v="111.37"/>
    <s v="kg CO2/kg Batterie"/>
    <n v="23.610440000000001"/>
    <x v="14"/>
  </r>
  <r>
    <x v="66"/>
    <x v="17"/>
    <n v="2018"/>
    <s v="NMC-SiNWs"/>
    <x v="1"/>
    <s v="kg CO2/kWh Batterie"/>
    <n v="222.13"/>
    <s v="kg CO2/kg Batterie"/>
    <n v="36.429320000000004"/>
    <x v="14"/>
  </r>
  <r>
    <x v="67"/>
    <x v="18"/>
    <n v="2019"/>
    <s v="LMO-Graphite"/>
    <x v="1"/>
    <s v="g CO2/Wh"/>
    <n v="118"/>
    <s v="kg CO2/kg Batterie"/>
    <n v="14.75"/>
    <x v="1"/>
  </r>
  <r>
    <x v="68"/>
    <x v="19"/>
    <n v="2019"/>
    <m/>
    <x v="1"/>
    <s v="kg CO2/kWh Batterie"/>
    <n v="313"/>
    <s v="kg CO2/kg Batterie"/>
    <n v="20.389714285714287"/>
    <x v="1"/>
  </r>
  <r>
    <x v="69"/>
    <x v="2"/>
    <n v="2019"/>
    <s v="NMC-Graphite"/>
    <x v="1"/>
    <s v="kg CO2/km"/>
    <n v="4.82E-2"/>
    <s v="kg CO2/kg Batterie"/>
    <n v="23.117505995203835"/>
    <x v="1"/>
  </r>
  <r>
    <x v="70"/>
    <x v="18"/>
    <n v="2019"/>
    <s v="NCA-Graphite"/>
    <x v="1"/>
    <s v="g CO2/Wh"/>
    <n v="104"/>
    <s v="kg CO2/kg Batterie"/>
    <n v="26"/>
    <x v="1"/>
  </r>
  <r>
    <x v="71"/>
    <x v="18"/>
    <n v="2019"/>
    <s v="LCO-Graphite"/>
    <x v="1"/>
    <s v="g CO2/Wh"/>
    <n v="161"/>
    <s v="kg CO2/kg Batterie"/>
    <n v="32.200000000000003"/>
    <x v="1"/>
  </r>
  <r>
    <x v="72"/>
    <x v="2"/>
    <n v="2019"/>
    <s v="NMC-SiNT"/>
    <x v="1"/>
    <s v="kg CO2/km"/>
    <n v="6.6699999999999995E-2"/>
    <s v="kg CO2/kg Batterie"/>
    <n v="41.687499999999993"/>
    <x v="1"/>
  </r>
  <r>
    <x v="73"/>
    <x v="18"/>
    <n v="2019"/>
    <s v="Li2O-SiO"/>
    <x v="1"/>
    <s v="g CO2/Wh"/>
    <n v="92"/>
    <s v="kg CO2/kg Batterie"/>
    <n v="16.559999999999999"/>
    <x v="15"/>
  </r>
  <r>
    <x v="74"/>
    <x v="18"/>
    <n v="2019"/>
    <s v="Li2O-SiO"/>
    <x v="1"/>
    <s v="g CO2/Wh"/>
    <n v="37"/>
    <s v="kg CO2/kg Batterie"/>
    <n v="17.02"/>
    <x v="15"/>
  </r>
  <r>
    <x v="75"/>
    <x v="18"/>
    <n v="2019"/>
    <s v="Li2O-SiO"/>
    <x v="1"/>
    <s v="g CO2/Wh"/>
    <n v="55"/>
    <s v="kg CO2/kg Batterie"/>
    <n v="17.05"/>
    <x v="15"/>
  </r>
  <r>
    <x v="76"/>
    <x v="20"/>
    <n v="2006"/>
    <m/>
    <x v="2"/>
    <s v="Wh/kg"/>
    <n v="5"/>
    <s v="kWh/kg"/>
    <n v="5.0000000000000001E-3"/>
    <x v="16"/>
  </r>
  <r>
    <x v="77"/>
    <x v="20"/>
    <n v="2006"/>
    <m/>
    <x v="2"/>
    <s v="Wh/kg"/>
    <n v="20"/>
    <s v="kWh/kg"/>
    <n v="0.02"/>
    <x v="16"/>
  </r>
  <r>
    <x v="78"/>
    <x v="21"/>
    <n v="2012"/>
    <s v="NaClNi"/>
    <x v="2"/>
    <s v="Wh/kg"/>
    <n v="50"/>
    <s v="kWh/kg"/>
    <n v="0.05"/>
    <x v="17"/>
  </r>
  <r>
    <x v="79"/>
    <x v="22"/>
    <n v="2017"/>
    <m/>
    <x v="2"/>
    <s v="Wh/kg"/>
    <n v="60"/>
    <s v="kWh/kg"/>
    <n v="0.06"/>
    <x v="0"/>
  </r>
  <r>
    <x v="80"/>
    <x v="23"/>
    <n v="2009"/>
    <s v="LMO"/>
    <x v="2"/>
    <s v="Wh/kg"/>
    <n v="80"/>
    <s v="kWh/kg"/>
    <n v="0.08"/>
    <x v="6"/>
  </r>
  <r>
    <x v="81"/>
    <x v="14"/>
    <n v="2016"/>
    <s v="LMO"/>
    <x v="2"/>
    <s v="kWh/kg"/>
    <n v="0.08"/>
    <s v="kWh/kg"/>
    <n v="0.08"/>
    <x v="13"/>
  </r>
  <r>
    <x v="82"/>
    <x v="24"/>
    <n v="2019"/>
    <s v="LMO-NMC"/>
    <x v="2"/>
    <s v="Wh/kg"/>
    <n v="82"/>
    <s v="kWh/kg"/>
    <n v="8.2000000000000003E-2"/>
    <x v="1"/>
  </r>
  <r>
    <x v="83"/>
    <x v="21"/>
    <n v="2011"/>
    <s v="Li-titanat"/>
    <x v="2"/>
    <s v="Wh/kg"/>
    <n v="85"/>
    <s v="kWh/kg"/>
    <n v="8.5000000000000006E-2"/>
    <x v="17"/>
  </r>
  <r>
    <x v="84"/>
    <x v="25"/>
    <n v="2015"/>
    <m/>
    <x v="2"/>
    <s v="Wh/kg"/>
    <n v="85"/>
    <s v="kWh/kg"/>
    <n v="8.5000000000000006E-2"/>
    <x v="12"/>
  </r>
  <r>
    <x v="85"/>
    <x v="20"/>
    <n v="2006"/>
    <m/>
    <x v="2"/>
    <s v="Wh/kg"/>
    <n v="100"/>
    <s v="kWh/kg"/>
    <n v="0.1"/>
    <x v="16"/>
  </r>
  <r>
    <x v="86"/>
    <x v="0"/>
    <n v="2017"/>
    <s v="NMC-Graphite"/>
    <x v="2"/>
    <s v="kWh/kg"/>
    <n v="0.105"/>
    <s v="kWh/kg"/>
    <n v="0.105"/>
    <x v="0"/>
  </r>
  <r>
    <x v="87"/>
    <x v="26"/>
    <n v="2009"/>
    <s v="LFP"/>
    <x v="2"/>
    <s v="Wh/kg"/>
    <n v="108"/>
    <s v="kWh/kg"/>
    <n v="0.108"/>
    <x v="6"/>
  </r>
  <r>
    <x v="88"/>
    <x v="14"/>
    <n v="2016"/>
    <s v="NCM"/>
    <x v="2"/>
    <s v="kWh/kg"/>
    <n v="0.11"/>
    <s v="kWh/kg"/>
    <n v="0.11"/>
    <x v="13"/>
  </r>
  <r>
    <x v="89"/>
    <x v="14"/>
    <n v="2016"/>
    <s v="NCM"/>
    <x v="2"/>
    <s v="kWh/kg"/>
    <n v="0.112"/>
    <s v="kWh/kg"/>
    <n v="0.112"/>
    <x v="13"/>
  </r>
  <r>
    <x v="90"/>
    <x v="14"/>
    <n v="2016"/>
    <s v="LMO"/>
    <x v="2"/>
    <s v="kWh/kg"/>
    <n v="0.114"/>
    <s v="kWh/kg"/>
    <n v="0.114"/>
    <x v="13"/>
  </r>
  <r>
    <x v="91"/>
    <x v="25"/>
    <n v="2015"/>
    <m/>
    <x v="2"/>
    <s v="Wh/kg"/>
    <n v="115"/>
    <s v="kWh/kg"/>
    <n v="0.115"/>
    <x v="12"/>
  </r>
  <r>
    <x v="92"/>
    <x v="21"/>
    <n v="2012"/>
    <s v="NaClNi"/>
    <x v="2"/>
    <s v="Wh/kg"/>
    <n v="120"/>
    <s v="kWh/kg"/>
    <n v="0.12"/>
    <x v="17"/>
  </r>
  <r>
    <x v="93"/>
    <x v="21"/>
    <n v="2012"/>
    <s v="LiNiMnCo"/>
    <x v="2"/>
    <s v="Wh/kg"/>
    <n v="120"/>
    <s v="kWh/kg"/>
    <n v="0.12"/>
    <x v="17"/>
  </r>
  <r>
    <x v="94"/>
    <x v="1"/>
    <n v="2017"/>
    <s v="NMC"/>
    <x v="2"/>
    <s v="Wh/kg"/>
    <n v="120"/>
    <s v="kWh/kg"/>
    <n v="0.12"/>
    <x v="0"/>
  </r>
  <r>
    <x v="95"/>
    <x v="27"/>
    <n v="2019"/>
    <s v="LMO-Graphite"/>
    <x v="2"/>
    <s v="Wh/kg"/>
    <n v="125"/>
    <s v="kWh/kg"/>
    <n v="0.125"/>
    <x v="1"/>
  </r>
  <r>
    <x v="96"/>
    <x v="14"/>
    <n v="2016"/>
    <s v="LMO"/>
    <x v="2"/>
    <s v="kWh/kg"/>
    <n v="0.13"/>
    <s v="kWh/kg"/>
    <n v="0.13"/>
    <x v="13"/>
  </r>
  <r>
    <x v="97"/>
    <x v="0"/>
    <n v="2017"/>
    <s v="NMC-MoS2"/>
    <x v="2"/>
    <s v="kWh/kg"/>
    <n v="0.13"/>
    <s v="kWh/kg"/>
    <n v="0.13"/>
    <x v="0"/>
  </r>
  <r>
    <x v="98"/>
    <x v="22"/>
    <n v="2017"/>
    <m/>
    <x v="2"/>
    <s v="Wh/kg"/>
    <n v="130"/>
    <s v="kWh/kg"/>
    <n v="0.13"/>
    <x v="0"/>
  </r>
  <r>
    <x v="99"/>
    <x v="24"/>
    <n v="2019"/>
    <s v="NCA"/>
    <x v="2"/>
    <s v="Wh/kg"/>
    <n v="138"/>
    <s v="kWh/kg"/>
    <n v="0.13800000000000001"/>
    <x v="1"/>
  </r>
  <r>
    <x v="100"/>
    <x v="21"/>
    <n v="2012"/>
    <s v="NaClNi"/>
    <x v="2"/>
    <s v="Wh/kg"/>
    <n v="150"/>
    <s v="kWh/kg"/>
    <n v="0.15"/>
    <x v="17"/>
  </r>
  <r>
    <x v="101"/>
    <x v="21"/>
    <n v="2012"/>
    <s v="LiNiMnCo"/>
    <x v="2"/>
    <s v="Wh/kg"/>
    <n v="150"/>
    <s v="kWh/kg"/>
    <n v="0.15"/>
    <x v="17"/>
  </r>
  <r>
    <x v="102"/>
    <x v="21"/>
    <n v="2011"/>
    <s v="Li-titanat"/>
    <x v="2"/>
    <s v="Wh/kg"/>
    <n v="160"/>
    <s v="kWh/kg"/>
    <n v="0.16"/>
    <x v="17"/>
  </r>
  <r>
    <x v="103"/>
    <x v="2"/>
    <n v="2019"/>
    <s v="NMC-Graphite"/>
    <x v="2"/>
    <s v="Wh/kg"/>
    <n v="160"/>
    <s v="kWh/kg"/>
    <n v="0.16"/>
    <x v="1"/>
  </r>
  <r>
    <x v="104"/>
    <x v="28"/>
    <n v="2009"/>
    <s v="LCO"/>
    <x v="2"/>
    <s v="Wh/kg"/>
    <n v="175"/>
    <s v="kWh/kg"/>
    <n v="0.17499999999999999"/>
    <x v="6"/>
  </r>
  <r>
    <x v="105"/>
    <x v="27"/>
    <n v="2019"/>
    <s v="Li2O-SiO"/>
    <x v="2"/>
    <s v="Wh/kg"/>
    <n v="180"/>
    <s v="kWh/kg"/>
    <n v="0.18"/>
    <x v="1"/>
  </r>
  <r>
    <x v="106"/>
    <x v="2"/>
    <n v="2019"/>
    <s v="NMC-SiNT"/>
    <x v="2"/>
    <s v="Wh/kg"/>
    <n v="199"/>
    <s v="kWh/kg"/>
    <n v="0.19900000000000001"/>
    <x v="1"/>
  </r>
  <r>
    <x v="107"/>
    <x v="20"/>
    <n v="2006"/>
    <m/>
    <x v="2"/>
    <s v="Wh/kg"/>
    <n v="200"/>
    <s v="kWh/kg"/>
    <n v="0.2"/>
    <x v="16"/>
  </r>
  <r>
    <x v="108"/>
    <x v="22"/>
    <n v="2017"/>
    <m/>
    <x v="2"/>
    <s v="Wh/kg"/>
    <n v="200"/>
    <s v="kWh/kg"/>
    <n v="0.2"/>
    <x v="0"/>
  </r>
  <r>
    <x v="109"/>
    <x v="27"/>
    <n v="2019"/>
    <s v="LCO-Graphite"/>
    <x v="2"/>
    <s v="Wh/kg"/>
    <n v="200"/>
    <s v="kWh/kg"/>
    <n v="0.2"/>
    <x v="1"/>
  </r>
  <r>
    <x v="110"/>
    <x v="1"/>
    <n v="2017"/>
    <s v="Li-S"/>
    <x v="2"/>
    <s v="Wh/kg"/>
    <n v="220"/>
    <s v="kWh/kg"/>
    <n v="0.22"/>
    <x v="0"/>
  </r>
  <r>
    <x v="111"/>
    <x v="22"/>
    <n v="2017"/>
    <m/>
    <x v="2"/>
    <s v="Wh/kg"/>
    <n v="250"/>
    <s v="kWh/kg"/>
    <n v="0.25"/>
    <x v="0"/>
  </r>
  <r>
    <x v="112"/>
    <x v="22"/>
    <n v="2017"/>
    <m/>
    <x v="2"/>
    <s v="Wh/kg"/>
    <n v="250"/>
    <s v="kWh/kg"/>
    <n v="0.25"/>
    <x v="0"/>
  </r>
  <r>
    <x v="113"/>
    <x v="27"/>
    <n v="2019"/>
    <s v="NCA-Graphite"/>
    <x v="2"/>
    <s v="Wh/kg"/>
    <n v="250"/>
    <s v="kWh/kg"/>
    <n v="0.25"/>
    <x v="1"/>
  </r>
  <r>
    <x v="114"/>
    <x v="29"/>
    <n v="2015"/>
    <m/>
    <x v="2"/>
    <s v="Wh/kg"/>
    <n v="250"/>
    <s v="kWh/kg"/>
    <n v="0.25"/>
    <x v="18"/>
  </r>
  <r>
    <x v="115"/>
    <x v="27"/>
    <n v="2019"/>
    <s v="Li2O-SiO"/>
    <x v="2"/>
    <s v="Wh/kg"/>
    <n v="310"/>
    <s v="kWh/kg"/>
    <n v="0.31"/>
    <x v="15"/>
  </r>
  <r>
    <x v="116"/>
    <x v="22"/>
    <n v="2017"/>
    <s v="Li-Si"/>
    <x v="2"/>
    <s v="Wh/kg"/>
    <n v="400"/>
    <s v="kWh/kg"/>
    <n v="0.4"/>
    <x v="0"/>
  </r>
  <r>
    <x v="117"/>
    <x v="27"/>
    <n v="2019"/>
    <s v="Li2O-SiO"/>
    <x v="2"/>
    <s v="Wh/kg"/>
    <n v="460"/>
    <s v="kWh/kg"/>
    <n v="0.46"/>
    <x v="15"/>
  </r>
  <r>
    <x v="118"/>
    <x v="22"/>
    <n v="2017"/>
    <s v="Li-Si"/>
    <x v="2"/>
    <s v="Wh/kg"/>
    <n v="500"/>
    <s v="kWh/kg"/>
    <n v="0.5"/>
    <x v="0"/>
  </r>
  <r>
    <x v="119"/>
    <x v="29"/>
    <n v="2015"/>
    <m/>
    <x v="2"/>
    <s v="Wh/kg"/>
    <n v="500"/>
    <s v="kWh/kg"/>
    <n v="0.5"/>
    <x v="19"/>
  </r>
  <r>
    <x v="120"/>
    <x v="29"/>
    <n v="2015"/>
    <m/>
    <x v="2"/>
    <s v="Wh/kg"/>
    <n v="700"/>
    <s v="kWh/kg"/>
    <n v="0.7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5" minRefreshableVersion="3" itemPrintTitles="1" createdVersion="5" indent="0" outline="1" outlineData="1" multipleFieldFilters="0" chartFormat="5">
  <location ref="A32:B134" firstHeaderRow="1" firstDataRow="1" firstDataCol="1" rowPageCount="1" colPageCount="1"/>
  <pivotFields count="10">
    <pivotField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8"/>
        <item x="83"/>
        <item x="92"/>
        <item x="93"/>
        <item x="100"/>
        <item x="101"/>
        <item x="102"/>
        <item x="76"/>
        <item x="77"/>
        <item x="85"/>
        <item x="107"/>
        <item x="80"/>
        <item x="87"/>
        <item x="104"/>
        <item x="84"/>
        <item x="91"/>
        <item x="81"/>
        <item x="88"/>
        <item x="89"/>
        <item x="90"/>
        <item x="96"/>
        <item x="79"/>
        <item x="86"/>
        <item x="94"/>
        <item x="97"/>
        <item x="98"/>
        <item x="108"/>
        <item x="110"/>
        <item x="111"/>
        <item x="112"/>
        <item x="82"/>
        <item x="95"/>
        <item x="99"/>
        <item x="103"/>
        <item x="105"/>
        <item x="106"/>
        <item x="109"/>
        <item x="113"/>
        <item x="114"/>
        <item x="115"/>
        <item x="116"/>
        <item x="117"/>
        <item x="118"/>
        <item x="119"/>
        <item x="120"/>
      </items>
    </pivotField>
    <pivotField axis="axisRow" showAll="0">
      <items count="31">
        <item x="24"/>
        <item n="Chen, I-Ching; Hamano, Hiroyuki; Iwasaki, Hiroshi; Yamada, Koichi. An Economic-Environmental Analysis of Lithium Ion batterys Based on Process Design and a Manufacturing Equipment Database. S.114" x="27"/>
        <item x="18"/>
        <item x="20"/>
        <item x="3"/>
        <item x="19"/>
        <item x="4"/>
        <item x="1"/>
        <item x="0"/>
        <item x="2"/>
        <item x="9"/>
        <item x="13"/>
        <item x="5"/>
        <item x="25"/>
        <item x="6"/>
        <item x="21"/>
        <item x="22"/>
        <item x="7"/>
        <item x="23"/>
        <item x="26"/>
        <item x="28"/>
        <item x="14"/>
        <item x="12"/>
        <item x="10"/>
        <item x="8"/>
        <item x="15"/>
        <item x="29"/>
        <item x="16"/>
        <item x="17"/>
        <item x="11"/>
        <item t="default"/>
      </items>
    </pivotField>
    <pivotField showAll="0"/>
    <pivotField showAll="0"/>
    <pivotField axis="axisPage" showAll="0">
      <items count="4">
        <item x="0"/>
        <item x="1"/>
        <item n="specific energy" x="2"/>
        <item t="default"/>
      </items>
    </pivotField>
    <pivotField showAll="0"/>
    <pivotField showAll="0"/>
    <pivotField showAll="0"/>
    <pivotField dataField="1" showAll="0"/>
    <pivotField axis="axisRow" showAll="0">
      <items count="22">
        <item x="17"/>
        <item x="2"/>
        <item x="3"/>
        <item x="16"/>
        <item x="4"/>
        <item x="5"/>
        <item x="6"/>
        <item x="7"/>
        <item x="8"/>
        <item x="9"/>
        <item x="10"/>
        <item x="11"/>
        <item x="12"/>
        <item x="13"/>
        <item x="0"/>
        <item x="14"/>
        <item x="1"/>
        <item x="18"/>
        <item x="15"/>
        <item x="19"/>
        <item x="20"/>
        <item t="default"/>
      </items>
    </pivotField>
  </pivotFields>
  <rowFields count="3">
    <field x="9"/>
    <field x="0"/>
    <field x="1"/>
  </rowFields>
  <rowItems count="102">
    <i>
      <x/>
    </i>
    <i r="1">
      <x v="76"/>
    </i>
    <i r="2">
      <x v="15"/>
    </i>
    <i r="1">
      <x v="77"/>
    </i>
    <i r="2">
      <x v="15"/>
    </i>
    <i r="1">
      <x v="78"/>
    </i>
    <i r="2">
      <x v="15"/>
    </i>
    <i r="1">
      <x v="79"/>
    </i>
    <i r="2">
      <x v="15"/>
    </i>
    <i r="1">
      <x v="80"/>
    </i>
    <i r="2">
      <x v="15"/>
    </i>
    <i r="1">
      <x v="81"/>
    </i>
    <i r="2">
      <x v="15"/>
    </i>
    <i r="1">
      <x v="82"/>
    </i>
    <i r="2">
      <x v="15"/>
    </i>
    <i>
      <x v="3"/>
    </i>
    <i r="1">
      <x v="83"/>
    </i>
    <i r="2">
      <x v="3"/>
    </i>
    <i r="1">
      <x v="84"/>
    </i>
    <i r="2">
      <x v="3"/>
    </i>
    <i r="1">
      <x v="85"/>
    </i>
    <i r="2">
      <x v="3"/>
    </i>
    <i r="1">
      <x v="86"/>
    </i>
    <i r="2">
      <x v="3"/>
    </i>
    <i>
      <x v="6"/>
    </i>
    <i r="1">
      <x v="87"/>
    </i>
    <i r="2">
      <x v="18"/>
    </i>
    <i r="1">
      <x v="88"/>
    </i>
    <i r="2">
      <x v="19"/>
    </i>
    <i r="1">
      <x v="89"/>
    </i>
    <i r="2">
      <x v="20"/>
    </i>
    <i>
      <x v="12"/>
    </i>
    <i r="1">
      <x v="90"/>
    </i>
    <i r="2">
      <x v="13"/>
    </i>
    <i r="1">
      <x v="91"/>
    </i>
    <i r="2">
      <x v="13"/>
    </i>
    <i>
      <x v="13"/>
    </i>
    <i r="1">
      <x v="92"/>
    </i>
    <i r="2">
      <x v="21"/>
    </i>
    <i r="1">
      <x v="93"/>
    </i>
    <i r="2">
      <x v="21"/>
    </i>
    <i r="1">
      <x v="94"/>
    </i>
    <i r="2">
      <x v="21"/>
    </i>
    <i r="1">
      <x v="95"/>
    </i>
    <i r="2">
      <x v="21"/>
    </i>
    <i r="1">
      <x v="96"/>
    </i>
    <i r="2">
      <x v="21"/>
    </i>
    <i>
      <x v="14"/>
    </i>
    <i r="1">
      <x v="97"/>
    </i>
    <i r="2">
      <x v="16"/>
    </i>
    <i r="1">
      <x v="98"/>
    </i>
    <i r="2">
      <x v="8"/>
    </i>
    <i r="1">
      <x v="99"/>
    </i>
    <i r="2">
      <x v="7"/>
    </i>
    <i r="1">
      <x v="100"/>
    </i>
    <i r="2">
      <x v="8"/>
    </i>
    <i r="1">
      <x v="101"/>
    </i>
    <i r="2">
      <x v="16"/>
    </i>
    <i r="1">
      <x v="102"/>
    </i>
    <i r="2">
      <x v="16"/>
    </i>
    <i r="1">
      <x v="103"/>
    </i>
    <i r="2">
      <x v="7"/>
    </i>
    <i r="1">
      <x v="104"/>
    </i>
    <i r="2">
      <x v="16"/>
    </i>
    <i r="1">
      <x v="105"/>
    </i>
    <i r="2">
      <x v="16"/>
    </i>
    <i r="1">
      <x v="116"/>
    </i>
    <i r="2">
      <x v="16"/>
    </i>
    <i r="1">
      <x v="118"/>
    </i>
    <i r="2">
      <x v="16"/>
    </i>
    <i>
      <x v="16"/>
    </i>
    <i r="1">
      <x v="106"/>
    </i>
    <i r="2">
      <x/>
    </i>
    <i r="1">
      <x v="107"/>
    </i>
    <i r="2">
      <x v="1"/>
    </i>
    <i r="1">
      <x v="108"/>
    </i>
    <i r="2">
      <x/>
    </i>
    <i r="1">
      <x v="109"/>
    </i>
    <i r="2">
      <x v="9"/>
    </i>
    <i r="1">
      <x v="110"/>
    </i>
    <i r="2">
      <x v="1"/>
    </i>
    <i r="1">
      <x v="111"/>
    </i>
    <i r="2">
      <x v="9"/>
    </i>
    <i r="1">
      <x v="112"/>
    </i>
    <i r="2">
      <x v="1"/>
    </i>
    <i r="1">
      <x v="113"/>
    </i>
    <i r="2">
      <x v="1"/>
    </i>
    <i>
      <x v="17"/>
    </i>
    <i r="1">
      <x v="114"/>
    </i>
    <i r="2">
      <x v="26"/>
    </i>
    <i>
      <x v="18"/>
    </i>
    <i r="1">
      <x v="115"/>
    </i>
    <i r="2">
      <x v="1"/>
    </i>
    <i r="1">
      <x v="117"/>
    </i>
    <i r="2">
      <x v="1"/>
    </i>
    <i>
      <x v="19"/>
    </i>
    <i r="1">
      <x v="119"/>
    </i>
    <i r="2">
      <x v="26"/>
    </i>
    <i>
      <x v="20"/>
    </i>
    <i r="1">
      <x v="120"/>
    </i>
    <i r="2">
      <x v="26"/>
    </i>
    <i t="grand">
      <x/>
    </i>
  </rowItems>
  <colItems count="1">
    <i/>
  </colItems>
  <pageFields count="1">
    <pageField fld="4" item="2" hier="-1"/>
  </pageFields>
  <dataFields count="1">
    <dataField name="Average of Wert (Ziel)" fld="8" subtotal="average" baseField="0" baseItem="953147408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itemPrintTitles="1" createdVersion="5" indent="0" outline="1" outlineData="1" multipleFieldFilters="0" chartFormat="3">
  <location ref="A32:B183" firstHeaderRow="1" firstDataRow="1" firstDataCol="1" rowPageCount="1" colPageCount="1"/>
  <pivotFields count="10">
    <pivotField axis="axisRow" showAll="0" defaultSubtotal="0">
      <items count="1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8"/>
        <item x="83"/>
        <item x="92"/>
        <item x="93"/>
        <item x="100"/>
        <item x="101"/>
        <item x="102"/>
        <item x="76"/>
        <item x="77"/>
        <item x="85"/>
        <item x="107"/>
        <item x="80"/>
        <item x="87"/>
        <item x="104"/>
        <item x="84"/>
        <item x="91"/>
        <item x="81"/>
        <item x="88"/>
        <item x="89"/>
        <item x="90"/>
        <item x="96"/>
        <item x="79"/>
        <item x="86"/>
        <item x="94"/>
        <item x="97"/>
        <item x="98"/>
        <item x="108"/>
        <item x="110"/>
        <item x="111"/>
        <item x="112"/>
        <item x="82"/>
        <item x="95"/>
        <item x="99"/>
        <item x="103"/>
        <item x="105"/>
        <item x="106"/>
        <item x="109"/>
        <item x="113"/>
        <item x="114"/>
        <item x="115"/>
        <item x="116"/>
        <item x="117"/>
        <item x="118"/>
        <item x="119"/>
        <item x="120"/>
      </items>
    </pivotField>
    <pivotField axis="axisRow" showAll="0">
      <items count="31">
        <item x="24"/>
        <item x="27"/>
        <item n="Chen, I-Ching; Hamano, Hiroyuki; Iwasaki, Hiroshi; Yamada, Koichi. An Economic-Environmental Analysis of Lithium Ion batterys Based on Process Design and a Manufacturing Equipment Database. S.116" x="18"/>
        <item x="20"/>
        <item x="3"/>
        <item x="19"/>
        <item x="4"/>
        <item x="1"/>
        <item x="0"/>
        <item x="2"/>
        <item x="9"/>
        <item x="13"/>
        <item x="5"/>
        <item x="25"/>
        <item x="6"/>
        <item x="21"/>
        <item x="22"/>
        <item x="7"/>
        <item x="23"/>
        <item x="26"/>
        <item x="28"/>
        <item x="14"/>
        <item x="12"/>
        <item x="10"/>
        <item x="8"/>
        <item x="15"/>
        <item x="29"/>
        <item x="16"/>
        <item x="17"/>
        <item x="11"/>
        <item t="default"/>
      </items>
    </pivotField>
    <pivotField showAll="0"/>
    <pivotField showAll="0"/>
    <pivotField axis="axisPage" showAll="0">
      <items count="4">
        <item x="0"/>
        <item n="production emissions" x="1"/>
        <item x="2"/>
        <item t="default"/>
      </items>
    </pivotField>
    <pivotField showAll="0"/>
    <pivotField showAll="0"/>
    <pivotField showAll="0"/>
    <pivotField dataField="1" showAll="0"/>
    <pivotField axis="axisRow" showAll="0">
      <items count="22">
        <item x="17"/>
        <item x="2"/>
        <item x="3"/>
        <item x="16"/>
        <item x="4"/>
        <item x="5"/>
        <item x="6"/>
        <item x="7"/>
        <item x="8"/>
        <item x="9"/>
        <item x="10"/>
        <item x="11"/>
        <item x="12"/>
        <item x="13"/>
        <item x="0"/>
        <item x="14"/>
        <item x="1"/>
        <item x="18"/>
        <item x="15"/>
        <item x="19"/>
        <item x="20"/>
        <item t="default"/>
      </items>
    </pivotField>
  </pivotFields>
  <rowFields count="3">
    <field x="9"/>
    <field x="0"/>
    <field x="1"/>
  </rowFields>
  <rowItems count="151">
    <i>
      <x v="1"/>
    </i>
    <i r="1">
      <x v="9"/>
    </i>
    <i r="2">
      <x v="14"/>
    </i>
    <i r="1">
      <x v="10"/>
    </i>
    <i r="2">
      <x v="14"/>
    </i>
    <i>
      <x v="2"/>
    </i>
    <i r="1">
      <x v="11"/>
    </i>
    <i r="2">
      <x v="17"/>
    </i>
    <i r="1">
      <x v="12"/>
    </i>
    <i r="2">
      <x v="17"/>
    </i>
    <i r="1">
      <x v="13"/>
    </i>
    <i r="2">
      <x v="17"/>
    </i>
    <i r="1">
      <x v="14"/>
    </i>
    <i r="2">
      <x v="17"/>
    </i>
    <i r="1">
      <x v="15"/>
    </i>
    <i r="2">
      <x v="17"/>
    </i>
    <i r="1">
      <x v="16"/>
    </i>
    <i r="2">
      <x v="17"/>
    </i>
    <i r="1">
      <x v="17"/>
    </i>
    <i r="2">
      <x v="17"/>
    </i>
    <i r="1">
      <x v="18"/>
    </i>
    <i r="2">
      <x v="17"/>
    </i>
    <i r="1">
      <x v="19"/>
    </i>
    <i r="2">
      <x v="17"/>
    </i>
    <i>
      <x v="4"/>
    </i>
    <i r="1">
      <x v="20"/>
    </i>
    <i r="2">
      <x v="17"/>
    </i>
    <i r="1">
      <x v="21"/>
    </i>
    <i r="2">
      <x v="17"/>
    </i>
    <i>
      <x v="5"/>
    </i>
    <i r="1">
      <x v="22"/>
    </i>
    <i r="2">
      <x v="17"/>
    </i>
    <i r="1">
      <x v="23"/>
    </i>
    <i r="2">
      <x v="24"/>
    </i>
    <i>
      <x v="6"/>
    </i>
    <i r="1">
      <x v="24"/>
    </i>
    <i r="2">
      <x v="17"/>
    </i>
    <i>
      <x v="7"/>
    </i>
    <i r="1">
      <x v="25"/>
    </i>
    <i r="2">
      <x v="10"/>
    </i>
    <i r="1">
      <x v="26"/>
    </i>
    <i r="2">
      <x v="14"/>
    </i>
    <i r="1">
      <x v="27"/>
    </i>
    <i r="2">
      <x v="17"/>
    </i>
    <i r="1">
      <x v="28"/>
    </i>
    <i r="2">
      <x v="17"/>
    </i>
    <i r="1">
      <x v="29"/>
    </i>
    <i r="2">
      <x v="23"/>
    </i>
    <i r="1">
      <x v="30"/>
    </i>
    <i r="2">
      <x v="23"/>
    </i>
    <i r="1">
      <x v="31"/>
    </i>
    <i r="2">
      <x v="23"/>
    </i>
    <i r="1">
      <x v="32"/>
    </i>
    <i r="2">
      <x v="23"/>
    </i>
    <i r="1">
      <x v="33"/>
    </i>
    <i r="2">
      <x v="29"/>
    </i>
    <i r="1">
      <x v="34"/>
    </i>
    <i r="2">
      <x v="14"/>
    </i>
    <i r="1">
      <x v="35"/>
    </i>
    <i r="2">
      <x v="17"/>
    </i>
    <i>
      <x v="8"/>
    </i>
    <i r="1">
      <x v="36"/>
    </i>
    <i r="2">
      <x v="17"/>
    </i>
    <i r="1">
      <x v="37"/>
    </i>
    <i r="2">
      <x v="23"/>
    </i>
    <i r="1">
      <x v="38"/>
    </i>
    <i r="2">
      <x v="23"/>
    </i>
    <i r="1">
      <x v="39"/>
    </i>
    <i r="2">
      <x v="14"/>
    </i>
    <i r="1">
      <x v="40"/>
    </i>
    <i r="2">
      <x v="22"/>
    </i>
    <i r="1">
      <x v="41"/>
    </i>
    <i r="2">
      <x v="22"/>
    </i>
    <i>
      <x v="9"/>
    </i>
    <i r="1">
      <x v="42"/>
    </i>
    <i r="2">
      <x v="17"/>
    </i>
    <i>
      <x v="10"/>
    </i>
    <i r="1">
      <x v="43"/>
    </i>
    <i r="2">
      <x v="17"/>
    </i>
    <i r="1">
      <x v="44"/>
    </i>
    <i r="2">
      <x v="17"/>
    </i>
    <i>
      <x v="11"/>
    </i>
    <i r="1">
      <x v="45"/>
    </i>
    <i r="2">
      <x v="23"/>
    </i>
    <i r="1">
      <x v="46"/>
    </i>
    <i r="2">
      <x v="11"/>
    </i>
    <i r="1">
      <x v="47"/>
    </i>
    <i r="2">
      <x v="17"/>
    </i>
    <i r="1">
      <x v="48"/>
    </i>
    <i r="2">
      <x v="11"/>
    </i>
    <i>
      <x v="12"/>
    </i>
    <i r="1">
      <x v="49"/>
    </i>
    <i r="2">
      <x v="17"/>
    </i>
    <i r="1">
      <x v="50"/>
    </i>
    <i r="2">
      <x v="17"/>
    </i>
    <i>
      <x v="13"/>
    </i>
    <i r="1">
      <x v="51"/>
    </i>
    <i r="2">
      <x v="21"/>
    </i>
    <i r="1">
      <x v="52"/>
    </i>
    <i r="2">
      <x v="21"/>
    </i>
    <i r="1">
      <x v="53"/>
    </i>
    <i r="2">
      <x v="21"/>
    </i>
    <i r="1">
      <x v="54"/>
    </i>
    <i r="2">
      <x v="17"/>
    </i>
    <i r="1">
      <x v="55"/>
    </i>
    <i r="2">
      <x v="21"/>
    </i>
    <i r="1">
      <x v="56"/>
    </i>
    <i r="2">
      <x v="25"/>
    </i>
    <i r="1">
      <x v="57"/>
    </i>
    <i r="2">
      <x v="21"/>
    </i>
    <i r="1">
      <x v="58"/>
    </i>
    <i r="2">
      <x v="17"/>
    </i>
    <i>
      <x v="14"/>
    </i>
    <i r="1">
      <x v="59"/>
    </i>
    <i r="2">
      <x v="27"/>
    </i>
    <i r="1">
      <x v="60"/>
    </i>
    <i r="2">
      <x v="8"/>
    </i>
    <i r="1">
      <x v="61"/>
    </i>
    <i r="2">
      <x v="7"/>
    </i>
    <i r="1">
      <x v="62"/>
    </i>
    <i r="2">
      <x v="8"/>
    </i>
    <i r="1">
      <x v="63"/>
    </i>
    <i r="2">
      <x v="7"/>
    </i>
    <i>
      <x v="15"/>
    </i>
    <i r="1">
      <x v="64"/>
    </i>
    <i r="2">
      <x v="28"/>
    </i>
    <i r="1">
      <x v="65"/>
    </i>
    <i r="2">
      <x v="28"/>
    </i>
    <i r="1">
      <x v="66"/>
    </i>
    <i r="2">
      <x v="28"/>
    </i>
    <i>
      <x v="16"/>
    </i>
    <i r="1">
      <x v="67"/>
    </i>
    <i r="2">
      <x v="2"/>
    </i>
    <i r="1">
      <x v="68"/>
    </i>
    <i r="2">
      <x v="5"/>
    </i>
    <i r="1">
      <x v="69"/>
    </i>
    <i r="2">
      <x v="9"/>
    </i>
    <i r="1">
      <x v="70"/>
    </i>
    <i r="2">
      <x v="2"/>
    </i>
    <i r="1">
      <x v="71"/>
    </i>
    <i r="2">
      <x v="2"/>
    </i>
    <i r="1">
      <x v="72"/>
    </i>
    <i r="2">
      <x v="9"/>
    </i>
    <i>
      <x v="18"/>
    </i>
    <i r="1">
      <x v="73"/>
    </i>
    <i r="2">
      <x v="2"/>
    </i>
    <i r="1">
      <x v="74"/>
    </i>
    <i r="2">
      <x v="2"/>
    </i>
    <i r="1">
      <x v="75"/>
    </i>
    <i r="2">
      <x v="2"/>
    </i>
    <i t="grand">
      <x/>
    </i>
  </rowItems>
  <colItems count="1">
    <i/>
  </colItems>
  <pageFields count="1">
    <pageField fld="4" item="1" hier="-1"/>
  </pageFields>
  <dataFields count="1">
    <dataField name="Average of Wert (Ziel)" fld="8" subtotal="average" baseField="0" baseItem="953147408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5" minRefreshableVersion="3" itemPrintTitles="1" createdVersion="5" indent="0" outline="1" outlineData="1" multipleFieldFilters="0" chartFormat="3">
  <location ref="A32:B53" firstHeaderRow="1" firstDataRow="1" firstDataCol="1" rowPageCount="1" colPageCount="1"/>
  <pivotFields count="10">
    <pivotField axis="axisRow" showAll="0">
      <items count="1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8"/>
        <item x="83"/>
        <item x="92"/>
        <item x="93"/>
        <item x="100"/>
        <item x="101"/>
        <item x="102"/>
        <item x="76"/>
        <item x="77"/>
        <item x="85"/>
        <item x="107"/>
        <item x="80"/>
        <item x="87"/>
        <item x="104"/>
        <item x="84"/>
        <item x="91"/>
        <item x="81"/>
        <item x="88"/>
        <item x="89"/>
        <item x="90"/>
        <item x="96"/>
        <item x="79"/>
        <item x="86"/>
        <item x="94"/>
        <item x="97"/>
        <item x="98"/>
        <item x="108"/>
        <item x="110"/>
        <item x="111"/>
        <item x="112"/>
        <item x="82"/>
        <item x="95"/>
        <item x="99"/>
        <item x="103"/>
        <item x="105"/>
        <item x="106"/>
        <item x="109"/>
        <item x="113"/>
        <item x="114"/>
        <item x="115"/>
        <item x="116"/>
        <item x="117"/>
        <item x="118"/>
        <item x="119"/>
        <item x="120"/>
        <item t="default"/>
      </items>
    </pivotField>
    <pivotField axis="axisRow" showAll="0">
      <items count="31">
        <item x="24"/>
        <item x="27"/>
        <item x="18"/>
        <item x="20"/>
        <item x="3"/>
        <item x="19"/>
        <item x="4"/>
        <item x="1"/>
        <item x="0"/>
        <item x="2"/>
        <item x="9"/>
        <item x="13"/>
        <item x="5"/>
        <item x="25"/>
        <item x="6"/>
        <item x="21"/>
        <item x="22"/>
        <item x="7"/>
        <item x="23"/>
        <item x="26"/>
        <item x="28"/>
        <item x="14"/>
        <item x="12"/>
        <item x="10"/>
        <item x="8"/>
        <item x="15"/>
        <item x="29"/>
        <item x="16"/>
        <item x="17"/>
        <item x="11"/>
        <item t="default"/>
      </items>
    </pivotField>
    <pivotField showAll="0"/>
    <pivotField showAll="0"/>
    <pivotField axis="axisPage" showAll="0">
      <items count="4">
        <item n="EoL emissions" x="0"/>
        <item x="1"/>
        <item x="2"/>
        <item t="default"/>
      </items>
    </pivotField>
    <pivotField showAll="0"/>
    <pivotField showAll="0"/>
    <pivotField showAll="0"/>
    <pivotField dataField="1" showAll="0"/>
    <pivotField axis="axisRow" showAll="0">
      <items count="22">
        <item x="17"/>
        <item x="2"/>
        <item x="3"/>
        <item x="16"/>
        <item x="4"/>
        <item x="5"/>
        <item x="6"/>
        <item x="7"/>
        <item x="8"/>
        <item x="9"/>
        <item x="10"/>
        <item x="11"/>
        <item x="12"/>
        <item x="13"/>
        <item x="0"/>
        <item x="14"/>
        <item x="1"/>
        <item x="18"/>
        <item x="15"/>
        <item x="19"/>
        <item x="20"/>
        <item t="default"/>
      </items>
    </pivotField>
  </pivotFields>
  <rowFields count="3">
    <field x="9"/>
    <field x="0"/>
    <field x="1"/>
  </rowFields>
  <rowItems count="21">
    <i>
      <x v="14"/>
    </i>
    <i r="1">
      <x/>
    </i>
    <i r="2">
      <x v="8"/>
    </i>
    <i r="1">
      <x v="1"/>
    </i>
    <i r="2">
      <x v="7"/>
    </i>
    <i r="1">
      <x v="2"/>
    </i>
    <i r="2">
      <x v="8"/>
    </i>
    <i r="1">
      <x v="3"/>
    </i>
    <i r="2">
      <x v="7"/>
    </i>
    <i>
      <x v="16"/>
    </i>
    <i r="1">
      <x v="4"/>
    </i>
    <i r="2">
      <x v="9"/>
    </i>
    <i r="1">
      <x v="5"/>
    </i>
    <i r="2">
      <x v="9"/>
    </i>
    <i r="1">
      <x v="6"/>
    </i>
    <i r="2">
      <x v="4"/>
    </i>
    <i r="1">
      <x v="7"/>
    </i>
    <i r="2">
      <x v="6"/>
    </i>
    <i r="1">
      <x v="8"/>
    </i>
    <i r="2">
      <x v="12"/>
    </i>
    <i t="grand">
      <x/>
    </i>
  </rowItems>
  <colItems count="1">
    <i/>
  </colItems>
  <pageFields count="1">
    <pageField fld="4" item="0" hier="-1"/>
  </pageFields>
  <dataFields count="1">
    <dataField name="Average of Wert (Ziel)" fld="8" subtotal="average" baseField="9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5" name="Tabelle_alle_Kennzahlen" displayName="Tabelle_alle_Kennzahlen" ref="A2:J123" headerRowDxfId="3">
  <autoFilter ref="A2:J123"/>
  <sortState ref="A79:J118">
    <sortCondition ref="I2:I118"/>
  </sortState>
  <tableColumns count="10">
    <tableColumn id="1" name="nr."/>
    <tableColumn id="2" name="Reference"/>
    <tableColumn id="12" name="publication year"/>
    <tableColumn id="11" name="chemical component(s)"/>
    <tableColumn id="10" name="characteristic"/>
    <tableColumn id="5" name="unit (research)"/>
    <tableColumn id="6" name="value (research)" dataDxfId="1"/>
    <tableColumn id="7" name="unit (converted)"/>
    <tableColumn id="8" name="value (converted)" dataDxfId="0" totalsRowDxfId="2"/>
    <tableColumn id="4" name="reference year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tabSelected="1" zoomScale="90" zoomScaleNormal="90" workbookViewId="0"/>
  </sheetViews>
  <sheetFormatPr defaultColWidth="8.88671875" defaultRowHeight="14.4" x14ac:dyDescent="0.3"/>
  <cols>
    <col min="1" max="1" width="8.88671875" style="16"/>
    <col min="2" max="4" width="8.88671875" style="12"/>
    <col min="5" max="5" width="19.109375" style="12" customWidth="1"/>
    <col min="6" max="6" width="30.33203125" style="12" customWidth="1"/>
    <col min="7" max="7" width="30.6640625" style="12" bestFit="1" customWidth="1"/>
    <col min="8" max="16384" width="8.88671875" style="12"/>
  </cols>
  <sheetData>
    <row r="1" spans="1:13" ht="23.4" x14ac:dyDescent="0.45">
      <c r="A1" s="15"/>
      <c r="B1" s="17" t="s">
        <v>77</v>
      </c>
    </row>
    <row r="2" spans="1:13" ht="12.6" customHeight="1" x14ac:dyDescent="0.35">
      <c r="A2" s="15"/>
      <c r="B2" s="14"/>
    </row>
    <row r="3" spans="1:13" s="22" customFormat="1" ht="18" x14ac:dyDescent="0.35">
      <c r="A3" s="19">
        <v>1</v>
      </c>
      <c r="B3" s="20" t="s">
        <v>78</v>
      </c>
      <c r="C3" s="21"/>
      <c r="D3" s="21"/>
      <c r="E3" s="21"/>
      <c r="F3" s="21"/>
      <c r="G3" s="12"/>
    </row>
    <row r="4" spans="1:13" ht="7.95" customHeight="1" x14ac:dyDescent="0.35">
      <c r="A4" s="15"/>
      <c r="B4" s="14"/>
    </row>
    <row r="5" spans="1:13" s="22" customFormat="1" ht="18" x14ac:dyDescent="0.35">
      <c r="A5" s="27">
        <v>2</v>
      </c>
      <c r="B5" s="28" t="s">
        <v>79</v>
      </c>
      <c r="C5" s="29"/>
      <c r="D5" s="29"/>
      <c r="E5" s="29"/>
      <c r="F5" s="29"/>
      <c r="G5" s="12"/>
    </row>
    <row r="6" spans="1:13" ht="15.6" x14ac:dyDescent="0.3">
      <c r="A6" s="30"/>
      <c r="B6" s="30"/>
      <c r="C6" s="30"/>
      <c r="D6" s="30"/>
      <c r="E6" s="30"/>
      <c r="F6" s="30"/>
      <c r="H6" s="13"/>
      <c r="I6" s="13"/>
      <c r="J6" s="13"/>
      <c r="K6" s="13"/>
      <c r="L6" s="13"/>
      <c r="M6" s="13"/>
    </row>
    <row r="7" spans="1:13" ht="7.95" customHeight="1" x14ac:dyDescent="0.3">
      <c r="A7" s="13"/>
      <c r="B7" s="13"/>
      <c r="C7" s="13"/>
      <c r="D7" s="13"/>
      <c r="E7" s="13"/>
      <c r="F7" s="13"/>
      <c r="H7" s="13"/>
      <c r="I7" s="13"/>
      <c r="J7" s="13"/>
      <c r="K7" s="13"/>
      <c r="L7" s="13"/>
      <c r="M7" s="13"/>
    </row>
    <row r="8" spans="1:13" ht="18" x14ac:dyDescent="0.35">
      <c r="A8" s="23">
        <v>3</v>
      </c>
      <c r="B8" s="24" t="s">
        <v>80</v>
      </c>
      <c r="C8" s="18"/>
      <c r="D8" s="18"/>
      <c r="E8" s="18"/>
      <c r="F8" s="18"/>
      <c r="H8" s="13"/>
      <c r="I8" s="13"/>
      <c r="J8" s="13"/>
      <c r="K8" s="13"/>
      <c r="L8" s="13"/>
      <c r="M8" s="13"/>
    </row>
    <row r="9" spans="1:13" ht="15.6" x14ac:dyDescent="0.3">
      <c r="A9" s="25"/>
      <c r="B9" s="18"/>
      <c r="C9" s="18"/>
      <c r="D9" s="18"/>
      <c r="E9" s="18"/>
      <c r="F9" s="18"/>
      <c r="H9" s="13"/>
      <c r="I9" s="26"/>
      <c r="J9" s="13"/>
      <c r="K9" s="13"/>
      <c r="L9" s="13"/>
      <c r="M9" s="13"/>
    </row>
    <row r="10" spans="1:13" ht="7.95" customHeight="1" x14ac:dyDescent="0.3">
      <c r="A10" s="12"/>
      <c r="J10" s="13"/>
      <c r="K10" s="13"/>
      <c r="L10" s="13"/>
      <c r="M10" s="13"/>
    </row>
    <row r="11" spans="1:13" ht="18" x14ac:dyDescent="0.35">
      <c r="A11" s="31">
        <v>4</v>
      </c>
      <c r="B11" s="32" t="s">
        <v>81</v>
      </c>
      <c r="C11" s="33"/>
      <c r="D11" s="33"/>
      <c r="E11" s="33"/>
      <c r="F11" s="33"/>
      <c r="J11" s="13"/>
      <c r="K11" s="13"/>
      <c r="L11" s="13"/>
      <c r="M11" s="13"/>
    </row>
    <row r="12" spans="1:13" ht="15.6" x14ac:dyDescent="0.3">
      <c r="A12" s="34"/>
      <c r="B12" s="33"/>
      <c r="C12" s="33"/>
      <c r="D12" s="33"/>
      <c r="E12" s="33"/>
      <c r="F12" s="33"/>
      <c r="G12" s="35"/>
      <c r="J12" s="13"/>
      <c r="K12" s="13"/>
      <c r="L12" s="13"/>
      <c r="M12" s="13"/>
    </row>
    <row r="13" spans="1:13" ht="15.6" x14ac:dyDescent="0.3">
      <c r="A13" s="12"/>
      <c r="H13" s="13"/>
      <c r="I13" s="13"/>
    </row>
    <row r="14" spans="1:13" ht="15.6" x14ac:dyDescent="0.3">
      <c r="A14" s="12"/>
      <c r="H14" s="13"/>
      <c r="I14" s="13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O187"/>
  <sheetViews>
    <sheetView zoomScale="90" zoomScaleNormal="90" workbookViewId="0">
      <selection activeCell="H3" sqref="H3"/>
    </sheetView>
  </sheetViews>
  <sheetFormatPr defaultColWidth="11.5546875" defaultRowHeight="14.4" x14ac:dyDescent="0.3"/>
  <cols>
    <col min="1" max="1" width="6" bestFit="1" customWidth="1"/>
    <col min="2" max="2" width="37.44140625" customWidth="1"/>
    <col min="3" max="3" width="11.33203125" customWidth="1"/>
    <col min="4" max="4" width="16.109375" bestFit="1" customWidth="1"/>
    <col min="5" max="5" width="21.109375" customWidth="1"/>
    <col min="6" max="6" width="18.88671875" bestFit="1" customWidth="1"/>
    <col min="7" max="7" width="13.6640625" customWidth="1"/>
    <col min="8" max="8" width="16.88671875" bestFit="1" customWidth="1"/>
    <col min="9" max="9" width="13.6640625" bestFit="1" customWidth="1"/>
    <col min="10" max="10" width="16.44140625" bestFit="1" customWidth="1"/>
    <col min="11" max="33" width="4.88671875" customWidth="1"/>
    <col min="34" max="34" width="8" bestFit="1" customWidth="1"/>
    <col min="35" max="41" width="7.109375" bestFit="1" customWidth="1"/>
  </cols>
  <sheetData>
    <row r="1" spans="1:16" ht="18.75" customHeight="1" x14ac:dyDescent="0.35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1"/>
      <c r="L1" s="1"/>
      <c r="M1" s="1"/>
      <c r="N1" s="1"/>
      <c r="O1" s="1"/>
      <c r="P1" s="1"/>
    </row>
    <row r="2" spans="1:16" ht="43.2" x14ac:dyDescent="0.3">
      <c r="A2" s="1" t="s">
        <v>91</v>
      </c>
      <c r="B2" s="1" t="s">
        <v>92</v>
      </c>
      <c r="C2" s="1" t="s">
        <v>93</v>
      </c>
      <c r="D2" s="1" t="s">
        <v>94</v>
      </c>
      <c r="E2" s="1" t="s">
        <v>95</v>
      </c>
      <c r="F2" s="1" t="s">
        <v>96</v>
      </c>
      <c r="G2" s="1" t="s">
        <v>97</v>
      </c>
      <c r="H2" s="1" t="s">
        <v>100</v>
      </c>
      <c r="I2" s="1" t="s">
        <v>99</v>
      </c>
      <c r="J2" s="1" t="s">
        <v>98</v>
      </c>
      <c r="K2" s="1"/>
      <c r="L2" s="1"/>
    </row>
    <row r="3" spans="1:16" x14ac:dyDescent="0.3">
      <c r="A3">
        <v>1</v>
      </c>
      <c r="B3" t="s">
        <v>38</v>
      </c>
      <c r="C3">
        <v>2017</v>
      </c>
      <c r="D3" t="s">
        <v>39</v>
      </c>
      <c r="E3" t="s">
        <v>84</v>
      </c>
      <c r="F3" t="s">
        <v>24</v>
      </c>
      <c r="G3" s="47">
        <v>1.73E-3</v>
      </c>
      <c r="H3" t="s">
        <v>87</v>
      </c>
      <c r="I3" s="8">
        <f>Tabelle_alle_Kennzahlen[[#This Row],[value (research)]]*200000/380</f>
        <v>0.91052631578947374</v>
      </c>
      <c r="J3">
        <f>Tabelle_alle_Kennzahlen[[#This Row],[publication year]]</f>
        <v>2017</v>
      </c>
    </row>
    <row r="4" spans="1:16" x14ac:dyDescent="0.3">
      <c r="A4">
        <v>2</v>
      </c>
      <c r="B4" t="s">
        <v>21</v>
      </c>
      <c r="C4">
        <v>2017</v>
      </c>
      <c r="D4" t="s">
        <v>23</v>
      </c>
      <c r="E4" t="s">
        <v>84</v>
      </c>
      <c r="F4" t="s">
        <v>24</v>
      </c>
      <c r="G4" s="47">
        <v>1.2800000000000001E-3</v>
      </c>
      <c r="H4" t="s">
        <v>87</v>
      </c>
      <c r="I4" s="8">
        <f>Tabelle_alle_Kennzahlen[[#This Row],[value (research)]]*200000/279</f>
        <v>0.91756272401433692</v>
      </c>
      <c r="J4">
        <f>Tabelle_alle_Kennzahlen[[#This Row],[publication year]]</f>
        <v>2017</v>
      </c>
    </row>
    <row r="5" spans="1:16" x14ac:dyDescent="0.3">
      <c r="A5">
        <v>3</v>
      </c>
      <c r="B5" t="s">
        <v>38</v>
      </c>
      <c r="C5">
        <v>2017</v>
      </c>
      <c r="D5" t="s">
        <v>30</v>
      </c>
      <c r="E5" t="s">
        <v>84</v>
      </c>
      <c r="F5" t="s">
        <v>24</v>
      </c>
      <c r="G5" s="47">
        <v>2.2300000000000002E-3</v>
      </c>
      <c r="H5" t="s">
        <v>87</v>
      </c>
      <c r="I5" s="8">
        <f>Tabelle_alle_Kennzahlen[[#This Row],[value (research)]]*200000/485</f>
        <v>0.91958762886597945</v>
      </c>
      <c r="J5">
        <f>Tabelle_alle_Kennzahlen[[#This Row],[publication year]]</f>
        <v>2017</v>
      </c>
    </row>
    <row r="6" spans="1:16" x14ac:dyDescent="0.3">
      <c r="A6">
        <v>4</v>
      </c>
      <c r="B6" t="s">
        <v>21</v>
      </c>
      <c r="C6">
        <v>2017</v>
      </c>
      <c r="D6" t="s">
        <v>22</v>
      </c>
      <c r="E6" t="s">
        <v>84</v>
      </c>
      <c r="F6" t="s">
        <v>24</v>
      </c>
      <c r="G6" s="47">
        <v>2.5699999999999998E-3</v>
      </c>
      <c r="H6" t="s">
        <v>87</v>
      </c>
      <c r="I6" s="8">
        <f>Tabelle_alle_Kennzahlen[[#This Row],[value (research)]]*200000/531</f>
        <v>0.967984934086629</v>
      </c>
      <c r="J6">
        <f>Tabelle_alle_Kennzahlen[[#This Row],[publication year]]</f>
        <v>2017</v>
      </c>
    </row>
    <row r="7" spans="1:16" x14ac:dyDescent="0.3">
      <c r="A7">
        <v>5</v>
      </c>
      <c r="B7" t="s">
        <v>29</v>
      </c>
      <c r="C7">
        <v>2019</v>
      </c>
      <c r="D7" t="s">
        <v>31</v>
      </c>
      <c r="E7" t="s">
        <v>84</v>
      </c>
      <c r="F7" t="s">
        <v>24</v>
      </c>
      <c r="G7" s="47">
        <v>1.5100000000000001E-3</v>
      </c>
      <c r="H7" t="s">
        <v>87</v>
      </c>
      <c r="I7" s="8">
        <f>Tabelle_alle_Kennzahlen[[#This Row],[value (research)]]*200000/320</f>
        <v>0.94374999999999998</v>
      </c>
      <c r="J7">
        <f>Tabelle_alle_Kennzahlen[[#This Row],[publication year]]</f>
        <v>2019</v>
      </c>
    </row>
    <row r="8" spans="1:16" x14ac:dyDescent="0.3">
      <c r="A8">
        <v>6</v>
      </c>
      <c r="B8" t="s">
        <v>29</v>
      </c>
      <c r="C8">
        <v>2019</v>
      </c>
      <c r="D8" t="s">
        <v>30</v>
      </c>
      <c r="E8" t="s">
        <v>84</v>
      </c>
      <c r="F8" t="s">
        <v>24</v>
      </c>
      <c r="G8" s="47">
        <v>2.0200000000000001E-3</v>
      </c>
      <c r="H8" t="s">
        <v>87</v>
      </c>
      <c r="I8" s="8">
        <f>Tabelle_alle_Kennzahlen[[#This Row],[value (research)]]*200000/417</f>
        <v>0.9688249400479616</v>
      </c>
      <c r="J8">
        <f>Tabelle_alle_Kennzahlen[[#This Row],[publication year]]</f>
        <v>2019</v>
      </c>
    </row>
    <row r="9" spans="1:16" x14ac:dyDescent="0.3">
      <c r="A9">
        <v>7</v>
      </c>
      <c r="B9" t="s">
        <v>25</v>
      </c>
      <c r="C9">
        <v>2019</v>
      </c>
      <c r="E9" t="s">
        <v>84</v>
      </c>
      <c r="F9" t="s">
        <v>88</v>
      </c>
      <c r="G9" s="47">
        <f>313/80*4</f>
        <v>15.65</v>
      </c>
      <c r="H9" t="s">
        <v>87</v>
      </c>
      <c r="I9" s="8">
        <f>Tabelle_alle_Kennzahlen[[#This Row],[value (research)]]*11.4/175</f>
        <v>1.0194857142857143</v>
      </c>
      <c r="J9">
        <f>Tabelle_alle_Kennzahlen[[#This Row],[publication year]]</f>
        <v>2019</v>
      </c>
    </row>
    <row r="10" spans="1:16" x14ac:dyDescent="0.3">
      <c r="A10">
        <v>8</v>
      </c>
      <c r="B10" t="s">
        <v>72</v>
      </c>
      <c r="C10">
        <v>2019</v>
      </c>
      <c r="D10" t="s">
        <v>27</v>
      </c>
      <c r="E10" t="s">
        <v>84</v>
      </c>
      <c r="F10" t="s">
        <v>88</v>
      </c>
      <c r="G10" s="47">
        <f>0.041*4520/11.4</f>
        <v>16.256140350877196</v>
      </c>
      <c r="H10" t="s">
        <v>87</v>
      </c>
      <c r="I10" s="8">
        <f>Tabelle_alle_Kennzahlen[[#This Row],[value (research)]]*11.4/175</f>
        <v>1.0589714285714289</v>
      </c>
      <c r="J10">
        <f>Tabelle_alle_Kennzahlen[[#This Row],[publication year]]</f>
        <v>2019</v>
      </c>
    </row>
    <row r="11" spans="1:16" x14ac:dyDescent="0.3">
      <c r="A11">
        <v>9</v>
      </c>
      <c r="B11" t="s">
        <v>69</v>
      </c>
      <c r="C11">
        <v>2019</v>
      </c>
      <c r="E11" t="s">
        <v>84</v>
      </c>
      <c r="F11" t="s">
        <v>87</v>
      </c>
      <c r="G11" s="47">
        <v>1.19</v>
      </c>
      <c r="H11" t="s">
        <v>87</v>
      </c>
      <c r="I11" s="8">
        <f>Tabelle_alle_Kennzahlen[[#This Row],[value (research)]]</f>
        <v>1.19</v>
      </c>
      <c r="J11">
        <f>Tabelle_alle_Kennzahlen[[#This Row],[publication year]]</f>
        <v>2019</v>
      </c>
    </row>
    <row r="12" spans="1:16" x14ac:dyDescent="0.3">
      <c r="A12">
        <v>10</v>
      </c>
      <c r="B12" t="s">
        <v>3</v>
      </c>
      <c r="C12">
        <v>2012</v>
      </c>
      <c r="D12" t="s">
        <v>10</v>
      </c>
      <c r="E12" t="s">
        <v>85</v>
      </c>
      <c r="F12" t="s">
        <v>88</v>
      </c>
      <c r="G12" s="8">
        <v>75</v>
      </c>
      <c r="H12" t="s">
        <v>87</v>
      </c>
      <c r="I12" s="8">
        <f>Tabelle_alle_Kennzahlen[[#This Row],[value (research)]]*0.135</f>
        <v>10.125</v>
      </c>
      <c r="J12">
        <v>2002</v>
      </c>
    </row>
    <row r="13" spans="1:16" x14ac:dyDescent="0.3">
      <c r="A13">
        <v>11</v>
      </c>
      <c r="B13" t="s">
        <v>3</v>
      </c>
      <c r="C13">
        <v>2012</v>
      </c>
      <c r="D13" t="s">
        <v>11</v>
      </c>
      <c r="E13" t="s">
        <v>85</v>
      </c>
      <c r="F13" t="s">
        <v>88</v>
      </c>
      <c r="G13" s="8">
        <v>75</v>
      </c>
      <c r="H13" t="s">
        <v>87</v>
      </c>
      <c r="I13" s="8">
        <f>Tabelle_alle_Kennzahlen[[#This Row],[value (research)]]*0.135</f>
        <v>10.125</v>
      </c>
      <c r="J13">
        <v>2002</v>
      </c>
    </row>
    <row r="14" spans="1:16" x14ac:dyDescent="0.3">
      <c r="A14">
        <v>12</v>
      </c>
      <c r="B14" t="s">
        <v>41</v>
      </c>
      <c r="C14">
        <v>2017</v>
      </c>
      <c r="D14" t="s">
        <v>51</v>
      </c>
      <c r="E14" t="s">
        <v>85</v>
      </c>
      <c r="F14" t="s">
        <v>88</v>
      </c>
      <c r="G14" s="8">
        <v>36</v>
      </c>
      <c r="H14" t="s">
        <v>87</v>
      </c>
      <c r="I14" s="8">
        <f>Tabelle_alle_Kennzahlen[[#This Row],[value (research)]]*0.132</f>
        <v>4.7520000000000007</v>
      </c>
      <c r="J14">
        <v>2004</v>
      </c>
    </row>
    <row r="15" spans="1:16" x14ac:dyDescent="0.3">
      <c r="A15">
        <v>13</v>
      </c>
      <c r="B15" t="s">
        <v>41</v>
      </c>
      <c r="C15">
        <v>2017</v>
      </c>
      <c r="D15" t="s">
        <v>49</v>
      </c>
      <c r="E15" t="s">
        <v>85</v>
      </c>
      <c r="F15" t="s">
        <v>88</v>
      </c>
      <c r="G15" s="8">
        <v>38</v>
      </c>
      <c r="H15" t="s">
        <v>87</v>
      </c>
      <c r="I15" s="8">
        <f>Tabelle_alle_Kennzahlen[[#This Row],[value (research)]]*0.15</f>
        <v>5.7</v>
      </c>
      <c r="J15">
        <v>2004</v>
      </c>
    </row>
    <row r="16" spans="1:16" x14ac:dyDescent="0.3">
      <c r="A16">
        <v>14</v>
      </c>
      <c r="B16" t="s">
        <v>41</v>
      </c>
      <c r="C16">
        <v>2017</v>
      </c>
      <c r="D16" t="s">
        <v>50</v>
      </c>
      <c r="E16" t="s">
        <v>85</v>
      </c>
      <c r="F16" t="s">
        <v>88</v>
      </c>
      <c r="G16" s="8">
        <v>50</v>
      </c>
      <c r="H16" t="s">
        <v>87</v>
      </c>
      <c r="I16" s="8">
        <f>Tabelle_alle_Kennzahlen[[#This Row],[value (research)]]*0.115</f>
        <v>5.75</v>
      </c>
      <c r="J16">
        <v>2004</v>
      </c>
    </row>
    <row r="17" spans="1:10" x14ac:dyDescent="0.3">
      <c r="A17">
        <v>15</v>
      </c>
      <c r="B17" t="s">
        <v>41</v>
      </c>
      <c r="C17">
        <v>2017</v>
      </c>
      <c r="D17" t="s">
        <v>52</v>
      </c>
      <c r="E17" t="s">
        <v>85</v>
      </c>
      <c r="F17" t="s">
        <v>88</v>
      </c>
      <c r="G17" s="8">
        <v>50</v>
      </c>
      <c r="H17" t="s">
        <v>87</v>
      </c>
      <c r="I17" s="8">
        <f>Tabelle_alle_Kennzahlen[[#This Row],[value (research)]]*0.132</f>
        <v>6.6000000000000005</v>
      </c>
      <c r="J17">
        <v>2004</v>
      </c>
    </row>
    <row r="18" spans="1:10" x14ac:dyDescent="0.3">
      <c r="A18">
        <v>16</v>
      </c>
      <c r="B18" t="s">
        <v>41</v>
      </c>
      <c r="C18">
        <v>2017</v>
      </c>
      <c r="D18" t="s">
        <v>53</v>
      </c>
      <c r="E18" t="s">
        <v>85</v>
      </c>
      <c r="F18" t="s">
        <v>88</v>
      </c>
      <c r="G18" s="8">
        <v>51</v>
      </c>
      <c r="H18" t="s">
        <v>87</v>
      </c>
      <c r="I18" s="8">
        <f>Tabelle_alle_Kennzahlen[[#This Row],[value (research)]]*0.132</f>
        <v>6.7320000000000002</v>
      </c>
      <c r="J18">
        <v>2004</v>
      </c>
    </row>
    <row r="19" spans="1:10" x14ac:dyDescent="0.3">
      <c r="A19">
        <v>17</v>
      </c>
      <c r="B19" t="s">
        <v>41</v>
      </c>
      <c r="C19">
        <v>2017</v>
      </c>
      <c r="D19" t="s">
        <v>43</v>
      </c>
      <c r="E19" t="s">
        <v>85</v>
      </c>
      <c r="F19" t="s">
        <v>88</v>
      </c>
      <c r="G19" s="8">
        <v>62.5</v>
      </c>
      <c r="H19" t="s">
        <v>87</v>
      </c>
      <c r="I19" s="8">
        <f>Tabelle_alle_Kennzahlen[[#This Row],[value (research)]]*0.115</f>
        <v>7.1875</v>
      </c>
      <c r="J19">
        <v>2004</v>
      </c>
    </row>
    <row r="20" spans="1:10" x14ac:dyDescent="0.3">
      <c r="A20">
        <v>18</v>
      </c>
      <c r="B20" t="s">
        <v>41</v>
      </c>
      <c r="C20">
        <v>2017</v>
      </c>
      <c r="D20" t="s">
        <v>48</v>
      </c>
      <c r="E20" t="s">
        <v>85</v>
      </c>
      <c r="F20" t="s">
        <v>88</v>
      </c>
      <c r="G20" s="8">
        <v>56</v>
      </c>
      <c r="H20" t="s">
        <v>87</v>
      </c>
      <c r="I20" s="8">
        <f>Tabelle_alle_Kennzahlen[[#This Row],[value (research)]]*0.132</f>
        <v>7.3920000000000003</v>
      </c>
      <c r="J20">
        <v>2004</v>
      </c>
    </row>
    <row r="21" spans="1:10" x14ac:dyDescent="0.3">
      <c r="A21">
        <v>19</v>
      </c>
      <c r="B21" t="s">
        <v>41</v>
      </c>
      <c r="C21">
        <v>2017</v>
      </c>
      <c r="D21" t="s">
        <v>42</v>
      </c>
      <c r="E21" t="s">
        <v>85</v>
      </c>
      <c r="F21" t="s">
        <v>88</v>
      </c>
      <c r="G21" s="8">
        <v>53</v>
      </c>
      <c r="H21" t="s">
        <v>87</v>
      </c>
      <c r="I21" s="8">
        <f>Tabelle_alle_Kennzahlen[[#This Row],[value (research)]]*0.15</f>
        <v>7.9499999999999993</v>
      </c>
      <c r="J21">
        <v>2004</v>
      </c>
    </row>
    <row r="22" spans="1:10" x14ac:dyDescent="0.3">
      <c r="A22">
        <v>20</v>
      </c>
      <c r="B22" t="s">
        <v>41</v>
      </c>
      <c r="C22">
        <v>2017</v>
      </c>
      <c r="D22" t="s">
        <v>46</v>
      </c>
      <c r="E22" t="s">
        <v>85</v>
      </c>
      <c r="F22" t="s">
        <v>88</v>
      </c>
      <c r="G22" s="8">
        <v>87</v>
      </c>
      <c r="H22" t="s">
        <v>87</v>
      </c>
      <c r="I22" s="8">
        <f>Tabelle_alle_Kennzahlen[[#This Row],[value (research)]]*0.132</f>
        <v>11.484</v>
      </c>
      <c r="J22">
        <v>2004</v>
      </c>
    </row>
    <row r="23" spans="1:10" x14ac:dyDescent="0.3">
      <c r="A23">
        <v>21</v>
      </c>
      <c r="B23" t="s">
        <v>41</v>
      </c>
      <c r="C23">
        <v>2017</v>
      </c>
      <c r="D23" t="s">
        <v>43</v>
      </c>
      <c r="E23" t="s">
        <v>85</v>
      </c>
      <c r="F23" t="s">
        <v>88</v>
      </c>
      <c r="G23" s="8">
        <v>40.6</v>
      </c>
      <c r="H23" t="s">
        <v>87</v>
      </c>
      <c r="I23" s="8">
        <f>Tabelle_alle_Kennzahlen[[#This Row],[value (research)]]*0.1435</f>
        <v>5.8260999999999994</v>
      </c>
      <c r="J23">
        <v>2007</v>
      </c>
    </row>
    <row r="24" spans="1:10" x14ac:dyDescent="0.3">
      <c r="A24">
        <v>22</v>
      </c>
      <c r="B24" t="s">
        <v>41</v>
      </c>
      <c r="C24">
        <v>2017</v>
      </c>
      <c r="D24" t="s">
        <v>44</v>
      </c>
      <c r="E24" t="s">
        <v>85</v>
      </c>
      <c r="F24" t="s">
        <v>88</v>
      </c>
      <c r="G24" s="8">
        <v>170</v>
      </c>
      <c r="H24" t="s">
        <v>87</v>
      </c>
      <c r="I24" s="8">
        <f>Tabelle_alle_Kennzahlen[[#This Row],[value (research)]]*0.1</f>
        <v>17</v>
      </c>
      <c r="J24">
        <v>2007</v>
      </c>
    </row>
    <row r="25" spans="1:10" x14ac:dyDescent="0.3">
      <c r="A25">
        <v>23</v>
      </c>
      <c r="B25" t="s">
        <v>41</v>
      </c>
      <c r="C25">
        <v>2017</v>
      </c>
      <c r="D25" t="s">
        <v>44</v>
      </c>
      <c r="E25" t="s">
        <v>85</v>
      </c>
      <c r="F25" t="s">
        <v>88</v>
      </c>
      <c r="G25" s="8">
        <v>120</v>
      </c>
      <c r="H25" t="s">
        <v>87</v>
      </c>
      <c r="I25" s="8">
        <f>Tabelle_alle_Kennzahlen[[#This Row],[value (research)]]*0.1</f>
        <v>12</v>
      </c>
      <c r="J25">
        <v>2008</v>
      </c>
    </row>
    <row r="26" spans="1:10" x14ac:dyDescent="0.3">
      <c r="A26">
        <v>24</v>
      </c>
      <c r="B26" t="s">
        <v>61</v>
      </c>
      <c r="C26">
        <v>2008</v>
      </c>
      <c r="E26" t="s">
        <v>85</v>
      </c>
      <c r="F26" t="s">
        <v>88</v>
      </c>
      <c r="G26" s="8">
        <v>120</v>
      </c>
      <c r="H26" t="s">
        <v>87</v>
      </c>
      <c r="I26" s="8">
        <f>Tabelle_alle_Kennzahlen[[#This Row],[value (research)]]*0.1</f>
        <v>12</v>
      </c>
      <c r="J26">
        <v>2008</v>
      </c>
    </row>
    <row r="27" spans="1:10" x14ac:dyDescent="0.3">
      <c r="A27">
        <v>25</v>
      </c>
      <c r="B27" t="s">
        <v>41</v>
      </c>
      <c r="C27">
        <v>2017</v>
      </c>
      <c r="E27" t="s">
        <v>85</v>
      </c>
      <c r="F27" t="s">
        <v>88</v>
      </c>
      <c r="G27" s="8">
        <v>54.8</v>
      </c>
      <c r="H27" t="s">
        <v>87</v>
      </c>
      <c r="I27" s="8">
        <f>Tabelle_alle_Kennzahlen[[#This Row],[value (research)]]*0.125</f>
        <v>6.85</v>
      </c>
      <c r="J27">
        <v>2009</v>
      </c>
    </row>
    <row r="28" spans="1:10" x14ac:dyDescent="0.3">
      <c r="A28">
        <v>26</v>
      </c>
      <c r="B28" t="s">
        <v>12</v>
      </c>
      <c r="C28">
        <v>2010</v>
      </c>
      <c r="E28" t="s">
        <v>85</v>
      </c>
      <c r="F28" t="s">
        <v>87</v>
      </c>
      <c r="G28" s="8">
        <v>6</v>
      </c>
      <c r="H28" t="s">
        <v>87</v>
      </c>
      <c r="I28" s="46">
        <v>6</v>
      </c>
      <c r="J28">
        <f>Tabelle_alle_Kennzahlen[[#This Row],[publication year]]</f>
        <v>2010</v>
      </c>
    </row>
    <row r="29" spans="1:10" ht="30" customHeight="1" x14ac:dyDescent="0.3">
      <c r="A29">
        <v>27</v>
      </c>
      <c r="B29" t="s">
        <v>3</v>
      </c>
      <c r="C29">
        <v>2012</v>
      </c>
      <c r="D29" t="s">
        <v>68</v>
      </c>
      <c r="E29" t="s">
        <v>85</v>
      </c>
      <c r="F29" t="s">
        <v>88</v>
      </c>
      <c r="G29" s="8">
        <v>52</v>
      </c>
      <c r="H29" t="s">
        <v>87</v>
      </c>
      <c r="I29" s="8">
        <f>Tabelle_alle_Kennzahlen[[#This Row],[value (research)]]*0.135</f>
        <v>7.0200000000000005</v>
      </c>
      <c r="J29">
        <v>2010</v>
      </c>
    </row>
    <row r="30" spans="1:10" ht="15.6" customHeight="1" x14ac:dyDescent="0.3">
      <c r="A30">
        <v>28</v>
      </c>
      <c r="B30" t="s">
        <v>41</v>
      </c>
      <c r="C30">
        <v>2017</v>
      </c>
      <c r="D30" t="s">
        <v>44</v>
      </c>
      <c r="E30" t="s">
        <v>85</v>
      </c>
      <c r="F30" t="s">
        <v>88</v>
      </c>
      <c r="G30" s="8">
        <v>72</v>
      </c>
      <c r="H30" t="s">
        <v>87</v>
      </c>
      <c r="I30" s="8">
        <f>Tabelle_alle_Kennzahlen[[#This Row],[value (research)]]*0.1</f>
        <v>7.2</v>
      </c>
      <c r="J30">
        <v>2010</v>
      </c>
    </row>
    <row r="31" spans="1:10" x14ac:dyDescent="0.3">
      <c r="A31">
        <v>29</v>
      </c>
      <c r="B31" t="s">
        <v>41</v>
      </c>
      <c r="C31">
        <v>2017</v>
      </c>
      <c r="D31" t="s">
        <v>44</v>
      </c>
      <c r="E31" t="s">
        <v>85</v>
      </c>
      <c r="F31" t="s">
        <v>88</v>
      </c>
      <c r="G31" s="8">
        <v>133</v>
      </c>
      <c r="H31" t="s">
        <v>87</v>
      </c>
      <c r="I31" s="8">
        <f>Tabelle_alle_Kennzahlen[[#This Row],[value (research)]]*0.1</f>
        <v>13.3</v>
      </c>
      <c r="J31">
        <v>2010</v>
      </c>
    </row>
    <row r="32" spans="1:10" ht="30" customHeight="1" x14ac:dyDescent="0.3">
      <c r="A32">
        <v>30</v>
      </c>
      <c r="B32" t="s">
        <v>74</v>
      </c>
      <c r="C32">
        <v>2018</v>
      </c>
      <c r="D32" t="s">
        <v>43</v>
      </c>
      <c r="E32" t="s">
        <v>85</v>
      </c>
      <c r="F32" t="s">
        <v>87</v>
      </c>
      <c r="G32" s="8">
        <v>13.5</v>
      </c>
      <c r="H32" t="s">
        <v>87</v>
      </c>
      <c r="I32" s="8">
        <f>Tabelle_alle_Kennzahlen[[#This Row],[value (research)]]</f>
        <v>13.5</v>
      </c>
      <c r="J32">
        <v>2010</v>
      </c>
    </row>
    <row r="33" spans="1:10" ht="15.6" customHeight="1" x14ac:dyDescent="0.3">
      <c r="A33">
        <v>31</v>
      </c>
      <c r="B33" t="s">
        <v>74</v>
      </c>
      <c r="C33">
        <v>2018</v>
      </c>
      <c r="D33" t="s">
        <v>47</v>
      </c>
      <c r="E33" t="s">
        <v>85</v>
      </c>
      <c r="F33" t="s">
        <v>87</v>
      </c>
      <c r="G33" s="8">
        <v>14</v>
      </c>
      <c r="H33" t="s">
        <v>87</v>
      </c>
      <c r="I33" s="8">
        <f>Tabelle_alle_Kennzahlen[[#This Row],[value (research)]]</f>
        <v>14</v>
      </c>
      <c r="J33">
        <v>2010</v>
      </c>
    </row>
    <row r="34" spans="1:10" ht="15" customHeight="1" x14ac:dyDescent="0.3">
      <c r="A34">
        <v>32</v>
      </c>
      <c r="B34" t="s">
        <v>74</v>
      </c>
      <c r="C34">
        <v>2018</v>
      </c>
      <c r="D34" t="s">
        <v>45</v>
      </c>
      <c r="E34" t="s">
        <v>85</v>
      </c>
      <c r="F34" t="s">
        <v>87</v>
      </c>
      <c r="G34" s="8">
        <v>14</v>
      </c>
      <c r="H34" t="s">
        <v>87</v>
      </c>
      <c r="I34" s="8">
        <f>Tabelle_alle_Kennzahlen[[#This Row],[value (research)]]</f>
        <v>14</v>
      </c>
      <c r="J34">
        <v>2010</v>
      </c>
    </row>
    <row r="35" spans="1:10" ht="18" customHeight="1" x14ac:dyDescent="0.3">
      <c r="A35">
        <v>33</v>
      </c>
      <c r="B35" t="s">
        <v>74</v>
      </c>
      <c r="C35">
        <v>2018</v>
      </c>
      <c r="D35" t="s">
        <v>44</v>
      </c>
      <c r="E35" t="s">
        <v>85</v>
      </c>
      <c r="F35" t="s">
        <v>87</v>
      </c>
      <c r="G35" s="8">
        <v>15.3</v>
      </c>
      <c r="H35" t="s">
        <v>87</v>
      </c>
      <c r="I35" s="8">
        <f>Tabelle_alle_Kennzahlen[[#This Row],[value (research)]]</f>
        <v>15.3</v>
      </c>
      <c r="J35">
        <v>2010</v>
      </c>
    </row>
    <row r="36" spans="1:10" x14ac:dyDescent="0.3">
      <c r="A36">
        <v>34</v>
      </c>
      <c r="B36" t="s">
        <v>40</v>
      </c>
      <c r="C36">
        <v>2010</v>
      </c>
      <c r="E36" t="s">
        <v>85</v>
      </c>
      <c r="F36" t="s">
        <v>88</v>
      </c>
      <c r="G36" s="8">
        <f>1660/10</f>
        <v>166</v>
      </c>
      <c r="H36" t="s">
        <v>87</v>
      </c>
      <c r="I36" s="8">
        <f>Tabelle_alle_Kennzahlen[[#This Row],[value (research)]]*0.093</f>
        <v>15.438000000000001</v>
      </c>
      <c r="J36">
        <f>Tabelle_alle_Kennzahlen[[#This Row],[publication year]]</f>
        <v>2010</v>
      </c>
    </row>
    <row r="37" spans="1:10" ht="15" customHeight="1" x14ac:dyDescent="0.3">
      <c r="A37">
        <v>35</v>
      </c>
      <c r="B37" t="s">
        <v>3</v>
      </c>
      <c r="C37">
        <v>2012</v>
      </c>
      <c r="D37" t="s">
        <v>60</v>
      </c>
      <c r="E37" t="s">
        <v>85</v>
      </c>
      <c r="F37" t="s">
        <v>88</v>
      </c>
      <c r="G37" s="8">
        <v>166</v>
      </c>
      <c r="H37" t="s">
        <v>87</v>
      </c>
      <c r="I37" s="8">
        <f>Tabelle_alle_Kennzahlen[[#This Row],[value (research)]]*0.12</f>
        <v>19.919999999999998</v>
      </c>
      <c r="J37">
        <v>2010</v>
      </c>
    </row>
    <row r="38" spans="1:10" ht="18" customHeight="1" x14ac:dyDescent="0.3">
      <c r="A38">
        <v>36</v>
      </c>
      <c r="B38" t="s">
        <v>41</v>
      </c>
      <c r="C38">
        <v>2017</v>
      </c>
      <c r="D38" t="s">
        <v>45</v>
      </c>
      <c r="E38" t="s">
        <v>85</v>
      </c>
      <c r="F38" t="s">
        <v>88</v>
      </c>
      <c r="G38" s="8">
        <v>338</v>
      </c>
      <c r="H38" t="s">
        <v>87</v>
      </c>
      <c r="I38" s="8">
        <f>Tabelle_alle_Kennzahlen[[#This Row],[value (research)]]*0.1</f>
        <v>33.800000000000004</v>
      </c>
      <c r="J38">
        <v>2010</v>
      </c>
    </row>
    <row r="39" spans="1:10" ht="31.5" customHeight="1" x14ac:dyDescent="0.3">
      <c r="A39">
        <v>37</v>
      </c>
      <c r="B39" t="s">
        <v>41</v>
      </c>
      <c r="C39">
        <v>2017</v>
      </c>
      <c r="D39" t="s">
        <v>43</v>
      </c>
      <c r="E39" t="s">
        <v>85</v>
      </c>
      <c r="F39" t="s">
        <v>88</v>
      </c>
      <c r="G39" s="8">
        <v>71</v>
      </c>
      <c r="H39" t="s">
        <v>87</v>
      </c>
      <c r="I39" s="8">
        <f>Tabelle_alle_Kennzahlen[[#This Row],[value (research)]]*0.114</f>
        <v>8.0939999999999994</v>
      </c>
      <c r="J39">
        <v>2011</v>
      </c>
    </row>
    <row r="40" spans="1:10" x14ac:dyDescent="0.3">
      <c r="A40">
        <v>38</v>
      </c>
      <c r="B40" t="s">
        <v>74</v>
      </c>
      <c r="C40">
        <v>2018</v>
      </c>
      <c r="D40" t="s">
        <v>47</v>
      </c>
      <c r="E40" t="s">
        <v>85</v>
      </c>
      <c r="F40" t="s">
        <v>87</v>
      </c>
      <c r="G40" s="8">
        <v>16</v>
      </c>
      <c r="H40" t="s">
        <v>87</v>
      </c>
      <c r="I40" s="8">
        <f>Tabelle_alle_Kennzahlen[[#This Row],[value (research)]]</f>
        <v>16</v>
      </c>
      <c r="J40">
        <v>2011</v>
      </c>
    </row>
    <row r="41" spans="1:10" x14ac:dyDescent="0.3">
      <c r="A41">
        <v>39</v>
      </c>
      <c r="B41" t="s">
        <v>74</v>
      </c>
      <c r="C41">
        <v>2018</v>
      </c>
      <c r="D41" t="s">
        <v>46</v>
      </c>
      <c r="E41" t="s">
        <v>85</v>
      </c>
      <c r="F41" t="s">
        <v>87</v>
      </c>
      <c r="G41" s="8">
        <v>16</v>
      </c>
      <c r="H41" t="s">
        <v>87</v>
      </c>
      <c r="I41" s="8">
        <f>Tabelle_alle_Kennzahlen[[#This Row],[value (research)]]</f>
        <v>16</v>
      </c>
      <c r="J41">
        <v>2011</v>
      </c>
    </row>
    <row r="42" spans="1:10" x14ac:dyDescent="0.3">
      <c r="A42">
        <v>40</v>
      </c>
      <c r="B42" t="s">
        <v>3</v>
      </c>
      <c r="C42">
        <v>2012</v>
      </c>
      <c r="E42" t="s">
        <v>85</v>
      </c>
      <c r="F42" t="s">
        <v>88</v>
      </c>
      <c r="G42" s="8">
        <v>134</v>
      </c>
      <c r="H42" t="s">
        <v>87</v>
      </c>
      <c r="I42" s="8">
        <f>Tabelle_alle_Kennzahlen[[#This Row],[value (research)]]*0.12</f>
        <v>16.079999999999998</v>
      </c>
      <c r="J42">
        <v>2011</v>
      </c>
    </row>
    <row r="43" spans="1:10" x14ac:dyDescent="0.3">
      <c r="A43">
        <v>41</v>
      </c>
      <c r="B43" t="s">
        <v>58</v>
      </c>
      <c r="C43">
        <v>2011</v>
      </c>
      <c r="D43" t="s">
        <v>59</v>
      </c>
      <c r="E43" t="s">
        <v>85</v>
      </c>
      <c r="F43" t="s">
        <v>87</v>
      </c>
      <c r="G43" s="8">
        <v>22</v>
      </c>
      <c r="H43" t="s">
        <v>87</v>
      </c>
      <c r="I43" s="8">
        <f>Tabelle_alle_Kennzahlen[[#This Row],[value (research)]]</f>
        <v>22</v>
      </c>
      <c r="J43">
        <v>2011</v>
      </c>
    </row>
    <row r="44" spans="1:10" x14ac:dyDescent="0.3">
      <c r="A44">
        <v>42</v>
      </c>
      <c r="B44" t="s">
        <v>58</v>
      </c>
      <c r="C44">
        <v>2011</v>
      </c>
      <c r="D44" t="s">
        <v>60</v>
      </c>
      <c r="E44" t="s">
        <v>85</v>
      </c>
      <c r="F44" t="s">
        <v>87</v>
      </c>
      <c r="G44" s="8">
        <v>22</v>
      </c>
      <c r="H44" t="s">
        <v>87</v>
      </c>
      <c r="I44" s="8">
        <f>Tabelle_alle_Kennzahlen[[#This Row],[value (research)]]</f>
        <v>22</v>
      </c>
      <c r="J44">
        <v>2011</v>
      </c>
    </row>
    <row r="45" spans="1:10" x14ac:dyDescent="0.3">
      <c r="A45">
        <v>43</v>
      </c>
      <c r="B45" t="s">
        <v>41</v>
      </c>
      <c r="C45">
        <v>2017</v>
      </c>
      <c r="D45" t="s">
        <v>47</v>
      </c>
      <c r="E45" t="s">
        <v>85</v>
      </c>
      <c r="F45" t="s">
        <v>88</v>
      </c>
      <c r="G45" s="8">
        <v>79.099999999999994</v>
      </c>
      <c r="H45" t="s">
        <v>87</v>
      </c>
      <c r="I45" s="8">
        <f>Tabelle_alle_Kennzahlen[[#This Row],[value (research)]]*0.164</f>
        <v>12.9724</v>
      </c>
      <c r="J45">
        <v>2012</v>
      </c>
    </row>
    <row r="46" spans="1:10" x14ac:dyDescent="0.3">
      <c r="A46">
        <v>44</v>
      </c>
      <c r="B46" t="s">
        <v>41</v>
      </c>
      <c r="C46">
        <v>2017</v>
      </c>
      <c r="D46" t="s">
        <v>46</v>
      </c>
      <c r="E46" t="s">
        <v>85</v>
      </c>
      <c r="F46" t="s">
        <v>88</v>
      </c>
      <c r="G46" s="8">
        <v>190</v>
      </c>
      <c r="H46" t="s">
        <v>87</v>
      </c>
      <c r="I46" s="8">
        <f>Tabelle_alle_Kennzahlen[[#This Row],[value (research)]]*0.0879</f>
        <v>16.701000000000001</v>
      </c>
      <c r="J46">
        <v>2013</v>
      </c>
    </row>
    <row r="47" spans="1:10" x14ac:dyDescent="0.3">
      <c r="A47">
        <v>45</v>
      </c>
      <c r="B47" t="s">
        <v>41</v>
      </c>
      <c r="C47">
        <v>2017</v>
      </c>
      <c r="D47" t="s">
        <v>47</v>
      </c>
      <c r="E47" t="s">
        <v>85</v>
      </c>
      <c r="F47" t="s">
        <v>88</v>
      </c>
      <c r="G47" s="8">
        <v>243</v>
      </c>
      <c r="H47" t="s">
        <v>87</v>
      </c>
      <c r="I47" s="8">
        <f>Tabelle_alle_Kennzahlen[[#This Row],[value (research)]]*0.0879</f>
        <v>21.3597</v>
      </c>
      <c r="J47">
        <v>2013</v>
      </c>
    </row>
    <row r="48" spans="1:10" x14ac:dyDescent="0.3">
      <c r="A48">
        <v>46</v>
      </c>
      <c r="B48" t="s">
        <v>74</v>
      </c>
      <c r="C48">
        <v>2018</v>
      </c>
      <c r="D48" t="s">
        <v>46</v>
      </c>
      <c r="E48" t="s">
        <v>85</v>
      </c>
      <c r="F48" t="s">
        <v>87</v>
      </c>
      <c r="G48" s="8">
        <v>14</v>
      </c>
      <c r="H48" t="s">
        <v>87</v>
      </c>
      <c r="I48" s="8">
        <f>Tabelle_alle_Kennzahlen[[#This Row],[value (research)]]</f>
        <v>14</v>
      </c>
      <c r="J48">
        <v>2014</v>
      </c>
    </row>
    <row r="49" spans="1:10" x14ac:dyDescent="0.3">
      <c r="A49">
        <v>47</v>
      </c>
      <c r="B49" t="s">
        <v>37</v>
      </c>
      <c r="C49">
        <v>2014</v>
      </c>
      <c r="D49" t="s">
        <v>22</v>
      </c>
      <c r="E49" t="s">
        <v>85</v>
      </c>
      <c r="F49" t="s">
        <v>87</v>
      </c>
      <c r="G49" s="8">
        <v>18</v>
      </c>
      <c r="H49" t="s">
        <v>87</v>
      </c>
      <c r="I49" s="8">
        <f>Tabelle_alle_Kennzahlen[[#This Row],[value (research)]]</f>
        <v>18</v>
      </c>
      <c r="J49">
        <f>Tabelle_alle_Kennzahlen[[#This Row],[publication year]]</f>
        <v>2014</v>
      </c>
    </row>
    <row r="50" spans="1:10" x14ac:dyDescent="0.3">
      <c r="A50">
        <v>48</v>
      </c>
      <c r="B50" t="s">
        <v>41</v>
      </c>
      <c r="C50">
        <v>2017</v>
      </c>
      <c r="D50" t="s">
        <v>46</v>
      </c>
      <c r="E50" t="s">
        <v>85</v>
      </c>
      <c r="F50" t="s">
        <v>88</v>
      </c>
      <c r="G50" s="8">
        <v>240</v>
      </c>
      <c r="H50" t="s">
        <v>87</v>
      </c>
      <c r="I50" s="8">
        <f>Tabelle_alle_Kennzahlen[[#This Row],[value (research)]]*0.0933</f>
        <v>22.391999999999999</v>
      </c>
      <c r="J50">
        <v>2014</v>
      </c>
    </row>
    <row r="51" spans="1:10" x14ac:dyDescent="0.3">
      <c r="A51">
        <v>49</v>
      </c>
      <c r="B51" t="s">
        <v>37</v>
      </c>
      <c r="C51">
        <v>2014</v>
      </c>
      <c r="D51" t="s">
        <v>22</v>
      </c>
      <c r="E51" t="s">
        <v>85</v>
      </c>
      <c r="F51" t="s">
        <v>87</v>
      </c>
      <c r="G51" s="8">
        <v>25</v>
      </c>
      <c r="H51" t="s">
        <v>87</v>
      </c>
      <c r="I51" s="8">
        <f>Tabelle_alle_Kennzahlen[[#This Row],[value (research)]]</f>
        <v>25</v>
      </c>
      <c r="J51">
        <f>Tabelle_alle_Kennzahlen[[#This Row],[publication year]]</f>
        <v>2014</v>
      </c>
    </row>
    <row r="52" spans="1:10" x14ac:dyDescent="0.3">
      <c r="A52">
        <v>50</v>
      </c>
      <c r="B52" t="s">
        <v>41</v>
      </c>
      <c r="C52">
        <v>2017</v>
      </c>
      <c r="D52" t="s">
        <v>42</v>
      </c>
      <c r="E52" t="s">
        <v>85</v>
      </c>
      <c r="F52" t="s">
        <v>88</v>
      </c>
      <c r="G52" s="8">
        <v>54</v>
      </c>
      <c r="H52" t="s">
        <v>87</v>
      </c>
      <c r="I52" s="8">
        <f>Tabelle_alle_Kennzahlen[[#This Row],[value (research)]]*0.12</f>
        <v>6.4799999999999995</v>
      </c>
      <c r="J52">
        <v>2015</v>
      </c>
    </row>
    <row r="53" spans="1:10" x14ac:dyDescent="0.3">
      <c r="A53">
        <v>51</v>
      </c>
      <c r="B53" t="s">
        <v>41</v>
      </c>
      <c r="C53">
        <v>2017</v>
      </c>
      <c r="D53" t="s">
        <v>54</v>
      </c>
      <c r="E53" t="s">
        <v>85</v>
      </c>
      <c r="F53" t="s">
        <v>88</v>
      </c>
      <c r="G53" s="8">
        <v>54</v>
      </c>
      <c r="H53" t="s">
        <v>87</v>
      </c>
      <c r="I53" s="8">
        <f>Tabelle_alle_Kennzahlen[[#This Row],[value (research)]]*0.14</f>
        <v>7.5600000000000005</v>
      </c>
      <c r="J53">
        <v>2015</v>
      </c>
    </row>
    <row r="54" spans="1:10" x14ac:dyDescent="0.3">
      <c r="A54">
        <v>52</v>
      </c>
      <c r="B54" t="s">
        <v>13</v>
      </c>
      <c r="C54">
        <v>2016</v>
      </c>
      <c r="D54" t="s">
        <v>68</v>
      </c>
      <c r="E54" t="s">
        <v>85</v>
      </c>
      <c r="F54" t="s">
        <v>88</v>
      </c>
      <c r="G54" s="8">
        <v>39</v>
      </c>
      <c r="H54" t="s">
        <v>87</v>
      </c>
      <c r="I54" s="8">
        <f>Tabelle_alle_Kennzahlen[[#This Row],[value (research)]]*0.13</f>
        <v>5.07</v>
      </c>
      <c r="J54">
        <f>Tabelle_alle_Kennzahlen[[#This Row],[publication year]]</f>
        <v>2016</v>
      </c>
    </row>
    <row r="55" spans="1:10" x14ac:dyDescent="0.3">
      <c r="A55">
        <v>53</v>
      </c>
      <c r="B55" t="s">
        <v>13</v>
      </c>
      <c r="C55">
        <v>2016</v>
      </c>
      <c r="D55" s="1" t="s">
        <v>68</v>
      </c>
      <c r="E55" t="s">
        <v>85</v>
      </c>
      <c r="F55" t="s">
        <v>88</v>
      </c>
      <c r="G55" s="8">
        <v>63.5</v>
      </c>
      <c r="H55" t="s">
        <v>87</v>
      </c>
      <c r="I55" s="8">
        <f>Tabelle_alle_Kennzahlen[[#This Row],[value (research)]]*0.08</f>
        <v>5.08</v>
      </c>
      <c r="J55">
        <f>Tabelle_alle_Kennzahlen[[#This Row],[publication year]]</f>
        <v>2016</v>
      </c>
    </row>
    <row r="56" spans="1:10" x14ac:dyDescent="0.3">
      <c r="A56">
        <v>54</v>
      </c>
      <c r="B56" t="s">
        <v>13</v>
      </c>
      <c r="C56">
        <v>2016</v>
      </c>
      <c r="D56" t="s">
        <v>68</v>
      </c>
      <c r="E56" t="s">
        <v>85</v>
      </c>
      <c r="F56" t="s">
        <v>88</v>
      </c>
      <c r="G56" s="8">
        <v>53</v>
      </c>
      <c r="H56" t="s">
        <v>87</v>
      </c>
      <c r="I56" s="8">
        <f>Tabelle_alle_Kennzahlen[[#This Row],[value (research)]]*0.114</f>
        <v>6.0419999999999998</v>
      </c>
      <c r="J56">
        <f>Tabelle_alle_Kennzahlen[[#This Row],[publication year]]</f>
        <v>2016</v>
      </c>
    </row>
    <row r="57" spans="1:10" x14ac:dyDescent="0.3">
      <c r="A57">
        <v>55</v>
      </c>
      <c r="B57" t="s">
        <v>41</v>
      </c>
      <c r="C57">
        <v>2017</v>
      </c>
      <c r="D57" t="s">
        <v>46</v>
      </c>
      <c r="E57" t="s">
        <v>85</v>
      </c>
      <c r="F57" t="s">
        <v>88</v>
      </c>
      <c r="G57" s="8">
        <v>119</v>
      </c>
      <c r="H57" t="s">
        <v>87</v>
      </c>
      <c r="I57" s="8">
        <f>Tabelle_alle_Kennzahlen[[#This Row],[value (research)]]*0.1</f>
        <v>11.9</v>
      </c>
      <c r="J57">
        <v>2016</v>
      </c>
    </row>
    <row r="58" spans="1:10" x14ac:dyDescent="0.3">
      <c r="A58">
        <v>56</v>
      </c>
      <c r="B58" t="s">
        <v>13</v>
      </c>
      <c r="C58">
        <v>2016</v>
      </c>
      <c r="D58" t="s">
        <v>59</v>
      </c>
      <c r="E58" t="s">
        <v>85</v>
      </c>
      <c r="F58" t="s">
        <v>88</v>
      </c>
      <c r="G58" s="8">
        <v>172</v>
      </c>
      <c r="H58" t="s">
        <v>87</v>
      </c>
      <c r="I58" s="8">
        <f>Tabelle_alle_Kennzahlen[[#This Row],[value (research)]]*0.11</f>
        <v>18.920000000000002</v>
      </c>
      <c r="J58">
        <f>Tabelle_alle_Kennzahlen[[#This Row],[publication year]]</f>
        <v>2016</v>
      </c>
    </row>
    <row r="59" spans="1:10" x14ac:dyDescent="0.3">
      <c r="A59">
        <v>57</v>
      </c>
      <c r="B59" t="s">
        <v>56</v>
      </c>
      <c r="C59">
        <v>2016</v>
      </c>
      <c r="E59" t="s">
        <v>85</v>
      </c>
      <c r="F59" t="s">
        <v>57</v>
      </c>
      <c r="G59" s="8">
        <v>41</v>
      </c>
      <c r="H59" t="s">
        <v>87</v>
      </c>
      <c r="I59" s="8">
        <f>Tabelle_alle_Kennzahlen[[#This Row],[value (research)]]*150000/318/1000</f>
        <v>19.339622641509436</v>
      </c>
      <c r="J59">
        <v>2016</v>
      </c>
    </row>
    <row r="60" spans="1:10" ht="45" customHeight="1" x14ac:dyDescent="0.3">
      <c r="A60">
        <v>58</v>
      </c>
      <c r="B60" t="s">
        <v>13</v>
      </c>
      <c r="C60">
        <v>2016</v>
      </c>
      <c r="D60" t="s">
        <v>59</v>
      </c>
      <c r="E60" t="s">
        <v>85</v>
      </c>
      <c r="F60" t="s">
        <v>88</v>
      </c>
      <c r="G60" s="8">
        <v>196</v>
      </c>
      <c r="H60" t="s">
        <v>87</v>
      </c>
      <c r="I60" s="8">
        <f>Tabelle_alle_Kennzahlen[[#This Row],[value (research)]]*0.11</f>
        <v>21.56</v>
      </c>
      <c r="J60">
        <f>Tabelle_alle_Kennzahlen[[#This Row],[publication year]]</f>
        <v>2016</v>
      </c>
    </row>
    <row r="61" spans="1:10" ht="45" customHeight="1" x14ac:dyDescent="0.3">
      <c r="A61">
        <v>59</v>
      </c>
      <c r="B61" t="s">
        <v>41</v>
      </c>
      <c r="C61">
        <v>2017</v>
      </c>
      <c r="D61" t="s">
        <v>55</v>
      </c>
      <c r="E61" t="s">
        <v>85</v>
      </c>
      <c r="F61" t="s">
        <v>88</v>
      </c>
      <c r="G61" s="8">
        <v>215</v>
      </c>
      <c r="H61" t="s">
        <v>87</v>
      </c>
      <c r="I61" s="8">
        <f>Tabelle_alle_Kennzahlen[[#This Row],[value (research)]]*0.117</f>
        <v>25.155000000000001</v>
      </c>
      <c r="J61">
        <v>2016</v>
      </c>
    </row>
    <row r="62" spans="1:10" x14ac:dyDescent="0.3">
      <c r="A62">
        <v>60</v>
      </c>
      <c r="B62" t="s">
        <v>16</v>
      </c>
      <c r="C62">
        <v>2017</v>
      </c>
      <c r="D62" t="s">
        <v>15</v>
      </c>
      <c r="E62" t="s">
        <v>85</v>
      </c>
      <c r="F62" t="s">
        <v>88</v>
      </c>
      <c r="G62" s="8">
        <f>1259.1/16</f>
        <v>78.693749999999994</v>
      </c>
      <c r="H62" t="s">
        <v>87</v>
      </c>
      <c r="I62" s="8">
        <f>Tabelle_alle_Kennzahlen[[#This Row],[value (research)]]*0.23</f>
        <v>18.099562500000001</v>
      </c>
      <c r="J62">
        <f>Tabelle_alle_Kennzahlen[[#This Row],[publication year]]</f>
        <v>2017</v>
      </c>
    </row>
    <row r="63" spans="1:10" ht="45" customHeight="1" x14ac:dyDescent="0.3">
      <c r="A63">
        <v>61</v>
      </c>
      <c r="B63" t="s">
        <v>38</v>
      </c>
      <c r="C63">
        <v>2017</v>
      </c>
      <c r="D63" t="s">
        <v>30</v>
      </c>
      <c r="E63" t="s">
        <v>85</v>
      </c>
      <c r="F63" t="s">
        <v>24</v>
      </c>
      <c r="G63" s="8">
        <v>4.3900000000000002E-2</v>
      </c>
      <c r="H63" t="s">
        <v>87</v>
      </c>
      <c r="I63" s="8">
        <f>Tabelle_alle_Kennzahlen[[#This Row],[value (research)]]*200000/485</f>
        <v>18.103092783505154</v>
      </c>
      <c r="J63">
        <f>Tabelle_alle_Kennzahlen[[#This Row],[publication year]]</f>
        <v>2017</v>
      </c>
    </row>
    <row r="64" spans="1:10" x14ac:dyDescent="0.3">
      <c r="A64">
        <v>62</v>
      </c>
      <c r="B64" t="s">
        <v>21</v>
      </c>
      <c r="C64">
        <v>2017</v>
      </c>
      <c r="D64" t="s">
        <v>22</v>
      </c>
      <c r="E64" t="s">
        <v>85</v>
      </c>
      <c r="F64" t="s">
        <v>24</v>
      </c>
      <c r="G64" s="8">
        <v>5.4899999999999997E-2</v>
      </c>
      <c r="H64" t="s">
        <v>87</v>
      </c>
      <c r="I64" s="8">
        <f>Tabelle_alle_Kennzahlen[[#This Row],[value (research)]]*200000/531</f>
        <v>20.677966101694917</v>
      </c>
      <c r="J64">
        <f>Tabelle_alle_Kennzahlen[[#This Row],[publication year]]</f>
        <v>2017</v>
      </c>
    </row>
    <row r="65" spans="1:10" x14ac:dyDescent="0.3">
      <c r="A65">
        <v>63</v>
      </c>
      <c r="B65" t="s">
        <v>38</v>
      </c>
      <c r="C65">
        <v>2017</v>
      </c>
      <c r="D65" t="s">
        <v>39</v>
      </c>
      <c r="E65" t="s">
        <v>85</v>
      </c>
      <c r="F65" t="s">
        <v>24</v>
      </c>
      <c r="G65" s="8">
        <v>5.4399999999999997E-2</v>
      </c>
      <c r="H65" t="s">
        <v>87</v>
      </c>
      <c r="I65" s="8">
        <f>Tabelle_alle_Kennzahlen[[#This Row],[value (research)]]*200000/380</f>
        <v>28.631578947368421</v>
      </c>
      <c r="J65">
        <f>Tabelle_alle_Kennzahlen[[#This Row],[publication year]]</f>
        <v>2017</v>
      </c>
    </row>
    <row r="66" spans="1:10" x14ac:dyDescent="0.3">
      <c r="A66">
        <v>64</v>
      </c>
      <c r="B66" t="s">
        <v>21</v>
      </c>
      <c r="C66">
        <v>2017</v>
      </c>
      <c r="D66" t="s">
        <v>23</v>
      </c>
      <c r="E66" t="s">
        <v>85</v>
      </c>
      <c r="F66" t="s">
        <v>24</v>
      </c>
      <c r="G66" s="8">
        <v>4.48E-2</v>
      </c>
      <c r="H66" t="s">
        <v>87</v>
      </c>
      <c r="I66" s="8">
        <f>Tabelle_alle_Kennzahlen[[#This Row],[value (research)]]*200000/279</f>
        <v>32.11469534050179</v>
      </c>
      <c r="J66">
        <f>Tabelle_alle_Kennzahlen[[#This Row],[publication year]]</f>
        <v>2017</v>
      </c>
    </row>
    <row r="67" spans="1:10" x14ac:dyDescent="0.3">
      <c r="A67">
        <v>65</v>
      </c>
      <c r="B67" t="s">
        <v>17</v>
      </c>
      <c r="C67">
        <v>2018</v>
      </c>
      <c r="D67" t="s">
        <v>18</v>
      </c>
      <c r="E67" t="s">
        <v>85</v>
      </c>
      <c r="F67" t="s">
        <v>88</v>
      </c>
      <c r="G67" s="8">
        <v>168.68</v>
      </c>
      <c r="H67" t="s">
        <v>87</v>
      </c>
      <c r="I67" s="8">
        <f>Tabelle_alle_Kennzahlen[[#This Row],[value (research)]]*0.127</f>
        <v>21.422360000000001</v>
      </c>
      <c r="J67">
        <f>Tabelle_alle_Kennzahlen[[#This Row],[publication year]]</f>
        <v>2018</v>
      </c>
    </row>
    <row r="68" spans="1:10" x14ac:dyDescent="0.3">
      <c r="A68">
        <v>66</v>
      </c>
      <c r="B68" t="s">
        <v>17</v>
      </c>
      <c r="C68">
        <v>2018</v>
      </c>
      <c r="D68" t="s">
        <v>19</v>
      </c>
      <c r="E68" t="s">
        <v>85</v>
      </c>
      <c r="F68" t="s">
        <v>88</v>
      </c>
      <c r="G68" s="8">
        <v>111.37</v>
      </c>
      <c r="H68" t="s">
        <v>87</v>
      </c>
      <c r="I68" s="8">
        <f>Tabelle_alle_Kennzahlen[[#This Row],[value (research)]]*0.212</f>
        <v>23.610440000000001</v>
      </c>
      <c r="J68">
        <f>Tabelle_alle_Kennzahlen[[#This Row],[publication year]]</f>
        <v>2018</v>
      </c>
    </row>
    <row r="69" spans="1:10" x14ac:dyDescent="0.3">
      <c r="A69">
        <v>67</v>
      </c>
      <c r="B69" t="s">
        <v>17</v>
      </c>
      <c r="C69">
        <v>2018</v>
      </c>
      <c r="D69" t="s">
        <v>20</v>
      </c>
      <c r="E69" t="s">
        <v>85</v>
      </c>
      <c r="F69" t="s">
        <v>88</v>
      </c>
      <c r="G69" s="8">
        <v>222.13</v>
      </c>
      <c r="H69" t="s">
        <v>87</v>
      </c>
      <c r="I69" s="8">
        <f>Tabelle_alle_Kennzahlen[[#This Row],[value (research)]]*0.164</f>
        <v>36.429320000000004</v>
      </c>
      <c r="J69">
        <f>Tabelle_alle_Kennzahlen[[#This Row],[publication year]]</f>
        <v>2018</v>
      </c>
    </row>
    <row r="70" spans="1:10" x14ac:dyDescent="0.3">
      <c r="A70">
        <v>68</v>
      </c>
      <c r="B70" t="s">
        <v>89</v>
      </c>
      <c r="C70">
        <v>2019</v>
      </c>
      <c r="D70" t="s">
        <v>32</v>
      </c>
      <c r="E70" t="s">
        <v>85</v>
      </c>
      <c r="F70" t="s">
        <v>36</v>
      </c>
      <c r="G70" s="8">
        <v>118</v>
      </c>
      <c r="H70" t="s">
        <v>87</v>
      </c>
      <c r="I70" s="46">
        <f>Tabelle_alle_Kennzahlen[[#This Row],[value (research)]]*0.125</f>
        <v>14.75</v>
      </c>
      <c r="J70">
        <f>Tabelle_alle_Kennzahlen[[#This Row],[publication year]]</f>
        <v>2019</v>
      </c>
    </row>
    <row r="71" spans="1:10" x14ac:dyDescent="0.3">
      <c r="A71">
        <v>69</v>
      </c>
      <c r="B71" t="s">
        <v>71</v>
      </c>
      <c r="C71">
        <v>2019</v>
      </c>
      <c r="E71" t="s">
        <v>85</v>
      </c>
      <c r="F71" t="s">
        <v>88</v>
      </c>
      <c r="G71" s="8">
        <v>313</v>
      </c>
      <c r="H71" t="s">
        <v>87</v>
      </c>
      <c r="I71" s="8">
        <f>Tabelle_alle_Kennzahlen[[#This Row],[value (research)]]*11.4/175</f>
        <v>20.389714285714287</v>
      </c>
      <c r="J71">
        <f>Tabelle_alle_Kennzahlen[[#This Row],[publication year]]</f>
        <v>2019</v>
      </c>
    </row>
    <row r="72" spans="1:10" x14ac:dyDescent="0.3">
      <c r="A72">
        <v>70</v>
      </c>
      <c r="B72" t="s">
        <v>29</v>
      </c>
      <c r="C72">
        <v>2019</v>
      </c>
      <c r="D72" t="s">
        <v>30</v>
      </c>
      <c r="E72" t="s">
        <v>85</v>
      </c>
      <c r="F72" t="s">
        <v>24</v>
      </c>
      <c r="G72" s="8">
        <v>4.82E-2</v>
      </c>
      <c r="H72" t="s">
        <v>87</v>
      </c>
      <c r="I72" s="8">
        <f>Tabelle_alle_Kennzahlen[[#This Row],[value (research)]]*200000/417</f>
        <v>23.117505995203835</v>
      </c>
      <c r="J72">
        <f>Tabelle_alle_Kennzahlen[[#This Row],[publication year]]</f>
        <v>2019</v>
      </c>
    </row>
    <row r="73" spans="1:10" x14ac:dyDescent="0.3">
      <c r="A73">
        <v>71</v>
      </c>
      <c r="B73" t="s">
        <v>89</v>
      </c>
      <c r="C73">
        <v>2019</v>
      </c>
      <c r="D73" t="s">
        <v>34</v>
      </c>
      <c r="E73" t="s">
        <v>85</v>
      </c>
      <c r="F73" t="s">
        <v>36</v>
      </c>
      <c r="G73" s="8">
        <v>104</v>
      </c>
      <c r="H73" t="s">
        <v>87</v>
      </c>
      <c r="I73" s="46">
        <f>Tabelle_alle_Kennzahlen[[#This Row],[value (research)]]*0.25</f>
        <v>26</v>
      </c>
      <c r="J73">
        <f>Tabelle_alle_Kennzahlen[[#This Row],[publication year]]</f>
        <v>2019</v>
      </c>
    </row>
    <row r="74" spans="1:10" ht="15" customHeight="1" x14ac:dyDescent="0.3">
      <c r="A74">
        <v>72</v>
      </c>
      <c r="B74" t="s">
        <v>89</v>
      </c>
      <c r="C74">
        <v>2019</v>
      </c>
      <c r="D74" t="s">
        <v>33</v>
      </c>
      <c r="E74" t="s">
        <v>85</v>
      </c>
      <c r="F74" t="s">
        <v>36</v>
      </c>
      <c r="G74" s="8">
        <v>161</v>
      </c>
      <c r="H74" t="s">
        <v>87</v>
      </c>
      <c r="I74" s="46">
        <f>Tabelle_alle_Kennzahlen[[#This Row],[value (research)]]*0.2</f>
        <v>32.200000000000003</v>
      </c>
      <c r="J74">
        <f>Tabelle_alle_Kennzahlen[[#This Row],[publication year]]</f>
        <v>2019</v>
      </c>
    </row>
    <row r="75" spans="1:10" x14ac:dyDescent="0.3">
      <c r="A75">
        <v>73</v>
      </c>
      <c r="B75" t="s">
        <v>29</v>
      </c>
      <c r="C75">
        <v>2019</v>
      </c>
      <c r="D75" t="s">
        <v>31</v>
      </c>
      <c r="E75" t="s">
        <v>85</v>
      </c>
      <c r="F75" t="s">
        <v>24</v>
      </c>
      <c r="G75" s="8">
        <v>6.6699999999999995E-2</v>
      </c>
      <c r="H75" t="s">
        <v>87</v>
      </c>
      <c r="I75" s="8">
        <f>Tabelle_alle_Kennzahlen[[#This Row],[value (research)]]*200000/320</f>
        <v>41.687499999999993</v>
      </c>
      <c r="J75">
        <f>Tabelle_alle_Kennzahlen[[#This Row],[publication year]]</f>
        <v>2019</v>
      </c>
    </row>
    <row r="76" spans="1:10" x14ac:dyDescent="0.3">
      <c r="A76">
        <v>74</v>
      </c>
      <c r="B76" t="s">
        <v>89</v>
      </c>
      <c r="C76">
        <v>2019</v>
      </c>
      <c r="D76" t="s">
        <v>35</v>
      </c>
      <c r="E76" t="s">
        <v>85</v>
      </c>
      <c r="F76" t="s">
        <v>36</v>
      </c>
      <c r="G76" s="8">
        <v>92</v>
      </c>
      <c r="H76" t="s">
        <v>87</v>
      </c>
      <c r="I76" s="8">
        <f>Tabelle_alle_Kennzahlen[[#This Row],[value (research)]]*0.18</f>
        <v>16.559999999999999</v>
      </c>
      <c r="J76">
        <v>2025</v>
      </c>
    </row>
    <row r="77" spans="1:10" x14ac:dyDescent="0.3">
      <c r="A77">
        <v>75</v>
      </c>
      <c r="B77" t="s">
        <v>89</v>
      </c>
      <c r="C77">
        <v>2019</v>
      </c>
      <c r="D77" t="s">
        <v>35</v>
      </c>
      <c r="E77" t="s">
        <v>85</v>
      </c>
      <c r="F77" t="s">
        <v>36</v>
      </c>
      <c r="G77" s="8">
        <v>37</v>
      </c>
      <c r="H77" t="s">
        <v>87</v>
      </c>
      <c r="I77" s="8">
        <f>Tabelle_alle_Kennzahlen[[#This Row],[value (research)]]*0.46</f>
        <v>17.02</v>
      </c>
      <c r="J77">
        <v>2025</v>
      </c>
    </row>
    <row r="78" spans="1:10" x14ac:dyDescent="0.3">
      <c r="A78">
        <v>76</v>
      </c>
      <c r="B78" t="s">
        <v>89</v>
      </c>
      <c r="C78">
        <v>2019</v>
      </c>
      <c r="D78" t="s">
        <v>35</v>
      </c>
      <c r="E78" t="s">
        <v>85</v>
      </c>
      <c r="F78" t="s">
        <v>36</v>
      </c>
      <c r="G78" s="8">
        <v>55</v>
      </c>
      <c r="H78" t="s">
        <v>87</v>
      </c>
      <c r="I78" s="8">
        <f>Tabelle_alle_Kennzahlen[[#This Row],[value (research)]]*0.31</f>
        <v>17.05</v>
      </c>
      <c r="J78">
        <v>2025</v>
      </c>
    </row>
    <row r="79" spans="1:10" x14ac:dyDescent="0.3">
      <c r="A79">
        <v>84</v>
      </c>
      <c r="B79" t="s">
        <v>62</v>
      </c>
      <c r="C79">
        <v>2006</v>
      </c>
      <c r="E79" t="s">
        <v>86</v>
      </c>
      <c r="F79" t="s">
        <v>2</v>
      </c>
      <c r="G79" s="8">
        <v>5</v>
      </c>
      <c r="H79" t="s">
        <v>14</v>
      </c>
      <c r="I79" s="8">
        <f>Tabelle_alle_Kennzahlen[[#This Row],[value (research)]]/1000</f>
        <v>5.0000000000000001E-3</v>
      </c>
      <c r="J79">
        <v>2006</v>
      </c>
    </row>
    <row r="80" spans="1:10" x14ac:dyDescent="0.3">
      <c r="A80">
        <v>85</v>
      </c>
      <c r="B80" t="s">
        <v>62</v>
      </c>
      <c r="C80">
        <v>2006</v>
      </c>
      <c r="E80" t="s">
        <v>86</v>
      </c>
      <c r="F80" t="s">
        <v>2</v>
      </c>
      <c r="G80" s="8">
        <v>20</v>
      </c>
      <c r="H80" t="s">
        <v>14</v>
      </c>
      <c r="I80" s="8">
        <f>Tabelle_alle_Kennzahlen[[#This Row],[value (research)]]/1000</f>
        <v>0.02</v>
      </c>
      <c r="J80">
        <v>2006</v>
      </c>
    </row>
    <row r="81" spans="1:41" x14ac:dyDescent="0.3">
      <c r="A81">
        <v>77</v>
      </c>
      <c r="B81" t="s">
        <v>1</v>
      </c>
      <c r="C81">
        <v>2012</v>
      </c>
      <c r="D81" t="s">
        <v>7</v>
      </c>
      <c r="E81" t="s">
        <v>86</v>
      </c>
      <c r="F81" t="s">
        <v>2</v>
      </c>
      <c r="G81" s="8">
        <v>50</v>
      </c>
      <c r="H81" t="s">
        <v>14</v>
      </c>
      <c r="I81" s="8">
        <f>Tabelle_alle_Kennzahlen[[#This Row],[value (research)]]/1000</f>
        <v>0.05</v>
      </c>
      <c r="J81">
        <v>1998</v>
      </c>
    </row>
    <row r="82" spans="1:41" x14ac:dyDescent="0.3">
      <c r="A82">
        <v>98</v>
      </c>
      <c r="B82" t="s">
        <v>63</v>
      </c>
      <c r="C82">
        <v>2017</v>
      </c>
      <c r="E82" t="s">
        <v>86</v>
      </c>
      <c r="F82" t="s">
        <v>2</v>
      </c>
      <c r="G82" s="8">
        <v>60</v>
      </c>
      <c r="H82" t="s">
        <v>14</v>
      </c>
      <c r="I82" s="8">
        <f>Tabelle_alle_Kennzahlen[[#This Row],[value (research)]]/1000</f>
        <v>0.06</v>
      </c>
      <c r="J82">
        <f>Tabelle_alle_Kennzahlen[[#This Row],[publication year]]</f>
        <v>2017</v>
      </c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41" x14ac:dyDescent="0.3">
      <c r="A83">
        <v>88</v>
      </c>
      <c r="B83" t="s">
        <v>4</v>
      </c>
      <c r="C83">
        <v>2009</v>
      </c>
      <c r="D83" t="s">
        <v>68</v>
      </c>
      <c r="E83" t="s">
        <v>86</v>
      </c>
      <c r="F83" t="s">
        <v>2</v>
      </c>
      <c r="G83" s="8">
        <v>80</v>
      </c>
      <c r="H83" t="s">
        <v>14</v>
      </c>
      <c r="I83" s="8">
        <f>Tabelle_alle_Kennzahlen[[#This Row],[value (research)]]/1000</f>
        <v>0.08</v>
      </c>
      <c r="J83">
        <f>Tabelle_alle_Kennzahlen[[#This Row],[publication year]]</f>
        <v>2009</v>
      </c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</row>
    <row r="84" spans="1:41" x14ac:dyDescent="0.3">
      <c r="A84">
        <v>93</v>
      </c>
      <c r="B84" t="s">
        <v>13</v>
      </c>
      <c r="C84">
        <v>2016</v>
      </c>
      <c r="D84" s="1" t="s">
        <v>68</v>
      </c>
      <c r="E84" t="s">
        <v>86</v>
      </c>
      <c r="F84" t="s">
        <v>14</v>
      </c>
      <c r="G84" s="8">
        <v>0.08</v>
      </c>
      <c r="H84" t="s">
        <v>14</v>
      </c>
      <c r="I84" s="8">
        <f>Tabelle_alle_Kennzahlen[[#This Row],[value (research)]]</f>
        <v>0.08</v>
      </c>
      <c r="J84">
        <f>Tabelle_alle_Kennzahlen[[#This Row],[publication year]]</f>
        <v>2016</v>
      </c>
    </row>
    <row r="85" spans="1:41" x14ac:dyDescent="0.3">
      <c r="A85">
        <v>107</v>
      </c>
      <c r="B85" t="s">
        <v>26</v>
      </c>
      <c r="C85">
        <v>2019</v>
      </c>
      <c r="D85" t="s">
        <v>27</v>
      </c>
      <c r="E85" t="s">
        <v>86</v>
      </c>
      <c r="F85" t="s">
        <v>2</v>
      </c>
      <c r="G85" s="8">
        <v>82</v>
      </c>
      <c r="H85" t="s">
        <v>14</v>
      </c>
      <c r="I85" s="8">
        <f>Tabelle_alle_Kennzahlen[[#This Row],[value (research)]]/1000</f>
        <v>8.2000000000000003E-2</v>
      </c>
      <c r="J85">
        <f>Tabelle_alle_Kennzahlen[[#This Row],[publication year]]</f>
        <v>2019</v>
      </c>
    </row>
    <row r="86" spans="1:41" x14ac:dyDescent="0.3">
      <c r="A86">
        <v>78</v>
      </c>
      <c r="B86" t="s">
        <v>1</v>
      </c>
      <c r="C86">
        <v>2011</v>
      </c>
      <c r="D86" t="s">
        <v>9</v>
      </c>
      <c r="E86" t="s">
        <v>86</v>
      </c>
      <c r="F86" t="s">
        <v>2</v>
      </c>
      <c r="G86" s="8">
        <v>85</v>
      </c>
      <c r="H86" t="s">
        <v>14</v>
      </c>
      <c r="I86" s="8">
        <f>Tabelle_alle_Kennzahlen[[#This Row],[value (research)]]/1000</f>
        <v>8.5000000000000006E-2</v>
      </c>
      <c r="J86">
        <v>1998</v>
      </c>
    </row>
    <row r="87" spans="1:41" x14ac:dyDescent="0.3">
      <c r="A87">
        <v>91</v>
      </c>
      <c r="B87" t="s">
        <v>73</v>
      </c>
      <c r="C87">
        <v>2015</v>
      </c>
      <c r="E87" t="s">
        <v>86</v>
      </c>
      <c r="F87" t="s">
        <v>2</v>
      </c>
      <c r="G87" s="8">
        <v>85</v>
      </c>
      <c r="H87" t="s">
        <v>14</v>
      </c>
      <c r="I87" s="8">
        <f>Tabelle_alle_Kennzahlen[[#This Row],[value (research)]]/1000</f>
        <v>8.5000000000000006E-2</v>
      </c>
      <c r="J87">
        <f>Tabelle_alle_Kennzahlen[[#This Row],[publication year]]</f>
        <v>2015</v>
      </c>
    </row>
    <row r="88" spans="1:41" x14ac:dyDescent="0.3">
      <c r="A88">
        <v>86</v>
      </c>
      <c r="B88" t="s">
        <v>62</v>
      </c>
      <c r="C88">
        <v>2006</v>
      </c>
      <c r="E88" t="s">
        <v>86</v>
      </c>
      <c r="F88" t="s">
        <v>2</v>
      </c>
      <c r="G88" s="8">
        <v>100</v>
      </c>
      <c r="H88" t="s">
        <v>14</v>
      </c>
      <c r="I88" s="8">
        <f>Tabelle_alle_Kennzahlen[[#This Row],[value (research)]]/1000</f>
        <v>0.1</v>
      </c>
      <c r="J88">
        <v>2006</v>
      </c>
    </row>
    <row r="89" spans="1:41" x14ac:dyDescent="0.3">
      <c r="A89">
        <v>99</v>
      </c>
      <c r="B89" t="s">
        <v>38</v>
      </c>
      <c r="C89">
        <v>2017</v>
      </c>
      <c r="D89" t="s">
        <v>30</v>
      </c>
      <c r="E89" t="s">
        <v>86</v>
      </c>
      <c r="F89" t="s">
        <v>14</v>
      </c>
      <c r="G89" s="8">
        <v>0.105</v>
      </c>
      <c r="H89" t="s">
        <v>14</v>
      </c>
      <c r="I89" s="8">
        <f>Tabelle_alle_Kennzahlen[[#This Row],[value (research)]]</f>
        <v>0.105</v>
      </c>
      <c r="J89">
        <f>Tabelle_alle_Kennzahlen[[#This Row],[publication year]]</f>
        <v>2017</v>
      </c>
    </row>
    <row r="90" spans="1:41" ht="45" customHeight="1" x14ac:dyDescent="0.3">
      <c r="A90">
        <v>89</v>
      </c>
      <c r="B90" t="s">
        <v>5</v>
      </c>
      <c r="C90">
        <v>2009</v>
      </c>
      <c r="D90" t="s">
        <v>60</v>
      </c>
      <c r="E90" t="s">
        <v>86</v>
      </c>
      <c r="F90" t="s">
        <v>2</v>
      </c>
      <c r="G90" s="8">
        <v>108</v>
      </c>
      <c r="H90" t="s">
        <v>14</v>
      </c>
      <c r="I90" s="8">
        <f>Tabelle_alle_Kennzahlen[[#This Row],[value (research)]]/1000</f>
        <v>0.108</v>
      </c>
      <c r="J90">
        <f>Tabelle_alle_Kennzahlen[[#This Row],[publication year]]</f>
        <v>2009</v>
      </c>
    </row>
    <row r="91" spans="1:41" x14ac:dyDescent="0.3">
      <c r="A91">
        <v>94</v>
      </c>
      <c r="B91" t="s">
        <v>13</v>
      </c>
      <c r="C91">
        <v>2016</v>
      </c>
      <c r="D91" t="s">
        <v>59</v>
      </c>
      <c r="E91" t="s">
        <v>86</v>
      </c>
      <c r="F91" t="s">
        <v>14</v>
      </c>
      <c r="G91" s="8">
        <v>0.11</v>
      </c>
      <c r="H91" t="s">
        <v>14</v>
      </c>
      <c r="I91" s="8">
        <f>Tabelle_alle_Kennzahlen[[#This Row],[value (research)]]</f>
        <v>0.11</v>
      </c>
      <c r="J91">
        <f>Tabelle_alle_Kennzahlen[[#This Row],[publication year]]</f>
        <v>2016</v>
      </c>
    </row>
    <row r="92" spans="1:41" x14ac:dyDescent="0.3">
      <c r="A92">
        <v>95</v>
      </c>
      <c r="B92" t="s">
        <v>13</v>
      </c>
      <c r="C92">
        <v>2016</v>
      </c>
      <c r="D92" t="s">
        <v>59</v>
      </c>
      <c r="E92" t="s">
        <v>86</v>
      </c>
      <c r="F92" t="s">
        <v>14</v>
      </c>
      <c r="G92" s="8">
        <v>0.112</v>
      </c>
      <c r="H92" t="s">
        <v>14</v>
      </c>
      <c r="I92" s="8">
        <f>Tabelle_alle_Kennzahlen[[#This Row],[value (research)]]</f>
        <v>0.112</v>
      </c>
      <c r="J92">
        <f>Tabelle_alle_Kennzahlen[[#This Row],[publication year]]</f>
        <v>2016</v>
      </c>
    </row>
    <row r="93" spans="1:41" x14ac:dyDescent="0.3">
      <c r="A93">
        <v>96</v>
      </c>
      <c r="B93" t="s">
        <v>13</v>
      </c>
      <c r="C93">
        <v>2016</v>
      </c>
      <c r="D93" t="s">
        <v>68</v>
      </c>
      <c r="E93" t="s">
        <v>86</v>
      </c>
      <c r="F93" t="s">
        <v>14</v>
      </c>
      <c r="G93" s="8">
        <v>0.114</v>
      </c>
      <c r="H93" t="s">
        <v>14</v>
      </c>
      <c r="I93" s="8">
        <f>Tabelle_alle_Kennzahlen[[#This Row],[value (research)]]</f>
        <v>0.114</v>
      </c>
      <c r="J93">
        <f>Tabelle_alle_Kennzahlen[[#This Row],[publication year]]</f>
        <v>2016</v>
      </c>
    </row>
    <row r="94" spans="1:41" x14ac:dyDescent="0.3">
      <c r="A94">
        <v>92</v>
      </c>
      <c r="B94" t="s">
        <v>73</v>
      </c>
      <c r="C94">
        <v>2015</v>
      </c>
      <c r="E94" t="s">
        <v>86</v>
      </c>
      <c r="F94" t="s">
        <v>2</v>
      </c>
      <c r="G94" s="8">
        <v>115</v>
      </c>
      <c r="H94" t="s">
        <v>14</v>
      </c>
      <c r="I94" s="8">
        <f>Tabelle_alle_Kennzahlen[[#This Row],[value (research)]]/1000</f>
        <v>0.115</v>
      </c>
      <c r="J94">
        <f>Tabelle_alle_Kennzahlen[[#This Row],[publication year]]</f>
        <v>2015</v>
      </c>
    </row>
    <row r="95" spans="1:41" x14ac:dyDescent="0.3">
      <c r="A95">
        <v>79</v>
      </c>
      <c r="B95" t="s">
        <v>1</v>
      </c>
      <c r="C95">
        <v>2012</v>
      </c>
      <c r="D95" t="s">
        <v>7</v>
      </c>
      <c r="E95" t="s">
        <v>86</v>
      </c>
      <c r="F95" t="s">
        <v>2</v>
      </c>
      <c r="G95" s="8">
        <v>120</v>
      </c>
      <c r="H95" t="s">
        <v>14</v>
      </c>
      <c r="I95" s="8">
        <f>Tabelle_alle_Kennzahlen[[#This Row],[value (research)]]/1000</f>
        <v>0.12</v>
      </c>
      <c r="J95">
        <v>1998</v>
      </c>
    </row>
    <row r="96" spans="1:41" x14ac:dyDescent="0.3">
      <c r="A96">
        <v>80</v>
      </c>
      <c r="B96" t="s">
        <v>1</v>
      </c>
      <c r="C96">
        <v>2012</v>
      </c>
      <c r="D96" t="s">
        <v>8</v>
      </c>
      <c r="E96" t="s">
        <v>86</v>
      </c>
      <c r="F96" t="s">
        <v>2</v>
      </c>
      <c r="G96" s="8">
        <v>120</v>
      </c>
      <c r="H96" t="s">
        <v>14</v>
      </c>
      <c r="I96" s="8">
        <f>Tabelle_alle_Kennzahlen[[#This Row],[value (research)]]/1000</f>
        <v>0.12</v>
      </c>
      <c r="J96">
        <v>1998</v>
      </c>
    </row>
    <row r="97" spans="1:10" ht="30" customHeight="1" x14ac:dyDescent="0.3">
      <c r="A97">
        <v>100</v>
      </c>
      <c r="B97" t="s">
        <v>21</v>
      </c>
      <c r="C97">
        <v>2017</v>
      </c>
      <c r="D97" t="s">
        <v>22</v>
      </c>
      <c r="E97" t="s">
        <v>86</v>
      </c>
      <c r="F97" t="s">
        <v>2</v>
      </c>
      <c r="G97" s="8">
        <v>120</v>
      </c>
      <c r="H97" t="s">
        <v>14</v>
      </c>
      <c r="I97" s="8">
        <f>Tabelle_alle_Kennzahlen[[#This Row],[value (research)]]/1000</f>
        <v>0.12</v>
      </c>
      <c r="J97">
        <f>Tabelle_alle_Kennzahlen[[#This Row],[publication year]]</f>
        <v>2017</v>
      </c>
    </row>
    <row r="98" spans="1:10" x14ac:dyDescent="0.3">
      <c r="A98">
        <v>108</v>
      </c>
      <c r="B98" t="s">
        <v>90</v>
      </c>
      <c r="C98">
        <v>2019</v>
      </c>
      <c r="D98" t="s">
        <v>32</v>
      </c>
      <c r="E98" t="s">
        <v>86</v>
      </c>
      <c r="F98" t="s">
        <v>2</v>
      </c>
      <c r="G98" s="8">
        <v>125</v>
      </c>
      <c r="H98" t="s">
        <v>14</v>
      </c>
      <c r="I98" s="8">
        <f>Tabelle_alle_Kennzahlen[[#This Row],[value (research)]]/1000</f>
        <v>0.125</v>
      </c>
      <c r="J98">
        <f>Tabelle_alle_Kennzahlen[[#This Row],[publication year]]</f>
        <v>2019</v>
      </c>
    </row>
    <row r="99" spans="1:10" x14ac:dyDescent="0.3">
      <c r="A99">
        <v>97</v>
      </c>
      <c r="B99" t="s">
        <v>13</v>
      </c>
      <c r="C99">
        <v>2016</v>
      </c>
      <c r="D99" t="s">
        <v>68</v>
      </c>
      <c r="E99" t="s">
        <v>86</v>
      </c>
      <c r="F99" t="s">
        <v>14</v>
      </c>
      <c r="G99" s="8">
        <v>0.13</v>
      </c>
      <c r="H99" t="s">
        <v>14</v>
      </c>
      <c r="I99" s="8">
        <f>Tabelle_alle_Kennzahlen[[#This Row],[value (research)]]</f>
        <v>0.13</v>
      </c>
      <c r="J99">
        <f>Tabelle_alle_Kennzahlen[[#This Row],[publication year]]</f>
        <v>2016</v>
      </c>
    </row>
    <row r="100" spans="1:10" x14ac:dyDescent="0.3">
      <c r="A100">
        <v>101</v>
      </c>
      <c r="B100" t="s">
        <v>38</v>
      </c>
      <c r="C100">
        <v>2017</v>
      </c>
      <c r="D100" t="s">
        <v>39</v>
      </c>
      <c r="E100" t="s">
        <v>86</v>
      </c>
      <c r="F100" t="s">
        <v>14</v>
      </c>
      <c r="G100" s="8">
        <v>0.13</v>
      </c>
      <c r="H100" t="s">
        <v>14</v>
      </c>
      <c r="I100" s="8">
        <f>Tabelle_alle_Kennzahlen[[#This Row],[value (research)]]</f>
        <v>0.13</v>
      </c>
      <c r="J100">
        <f>Tabelle_alle_Kennzahlen[[#This Row],[publication year]]</f>
        <v>2017</v>
      </c>
    </row>
    <row r="101" spans="1:10" x14ac:dyDescent="0.3">
      <c r="A101">
        <v>102</v>
      </c>
      <c r="B101" t="s">
        <v>63</v>
      </c>
      <c r="C101">
        <v>2017</v>
      </c>
      <c r="E101" t="s">
        <v>86</v>
      </c>
      <c r="F101" t="s">
        <v>2</v>
      </c>
      <c r="G101" s="8">
        <v>130</v>
      </c>
      <c r="H101" t="s">
        <v>14</v>
      </c>
      <c r="I101" s="8">
        <f>Tabelle_alle_Kennzahlen[[#This Row],[value (research)]]/1000</f>
        <v>0.13</v>
      </c>
      <c r="J101">
        <f>Tabelle_alle_Kennzahlen[[#This Row],[publication year]]</f>
        <v>2017</v>
      </c>
    </row>
    <row r="102" spans="1:10" x14ac:dyDescent="0.3">
      <c r="A102">
        <v>109</v>
      </c>
      <c r="B102" t="s">
        <v>26</v>
      </c>
      <c r="C102">
        <v>2019</v>
      </c>
      <c r="D102" t="s">
        <v>28</v>
      </c>
      <c r="E102" t="s">
        <v>86</v>
      </c>
      <c r="F102" t="s">
        <v>2</v>
      </c>
      <c r="G102" s="8">
        <v>138</v>
      </c>
      <c r="H102" t="s">
        <v>14</v>
      </c>
      <c r="I102" s="8">
        <f>Tabelle_alle_Kennzahlen[[#This Row],[value (research)]]/1000</f>
        <v>0.13800000000000001</v>
      </c>
      <c r="J102">
        <f>Tabelle_alle_Kennzahlen[[#This Row],[publication year]]</f>
        <v>2019</v>
      </c>
    </row>
    <row r="103" spans="1:10" x14ac:dyDescent="0.3">
      <c r="A103">
        <v>81</v>
      </c>
      <c r="B103" t="s">
        <v>1</v>
      </c>
      <c r="C103">
        <v>2012</v>
      </c>
      <c r="D103" t="s">
        <v>7</v>
      </c>
      <c r="E103" t="s">
        <v>86</v>
      </c>
      <c r="F103" t="s">
        <v>2</v>
      </c>
      <c r="G103" s="8">
        <v>150</v>
      </c>
      <c r="H103" t="s">
        <v>14</v>
      </c>
      <c r="I103" s="8">
        <f>Tabelle_alle_Kennzahlen[[#This Row],[value (research)]]/1000</f>
        <v>0.15</v>
      </c>
      <c r="J103">
        <v>1998</v>
      </c>
    </row>
    <row r="104" spans="1:10" x14ac:dyDescent="0.3">
      <c r="A104">
        <v>82</v>
      </c>
      <c r="B104" t="s">
        <v>1</v>
      </c>
      <c r="C104">
        <v>2012</v>
      </c>
      <c r="D104" t="s">
        <v>8</v>
      </c>
      <c r="E104" t="s">
        <v>86</v>
      </c>
      <c r="F104" t="s">
        <v>2</v>
      </c>
      <c r="G104" s="8">
        <v>150</v>
      </c>
      <c r="H104" t="s">
        <v>14</v>
      </c>
      <c r="I104" s="8">
        <f>Tabelle_alle_Kennzahlen[[#This Row],[value (research)]]/1000</f>
        <v>0.15</v>
      </c>
      <c r="J104">
        <v>1998</v>
      </c>
    </row>
    <row r="105" spans="1:10" x14ac:dyDescent="0.3">
      <c r="A105">
        <v>83</v>
      </c>
      <c r="B105" t="s">
        <v>1</v>
      </c>
      <c r="C105">
        <v>2011</v>
      </c>
      <c r="D105" t="s">
        <v>9</v>
      </c>
      <c r="E105" t="s">
        <v>86</v>
      </c>
      <c r="F105" t="s">
        <v>2</v>
      </c>
      <c r="G105" s="8">
        <v>160</v>
      </c>
      <c r="H105" t="s">
        <v>14</v>
      </c>
      <c r="I105" s="8">
        <f>Tabelle_alle_Kennzahlen[[#This Row],[value (research)]]/1000</f>
        <v>0.16</v>
      </c>
      <c r="J105">
        <v>1998</v>
      </c>
    </row>
    <row r="106" spans="1:10" x14ac:dyDescent="0.3">
      <c r="A106">
        <v>110</v>
      </c>
      <c r="B106" t="s">
        <v>29</v>
      </c>
      <c r="C106">
        <v>2019</v>
      </c>
      <c r="D106" t="s">
        <v>30</v>
      </c>
      <c r="E106" t="s">
        <v>86</v>
      </c>
      <c r="F106" t="s">
        <v>2</v>
      </c>
      <c r="G106" s="8">
        <v>160</v>
      </c>
      <c r="H106" t="s">
        <v>14</v>
      </c>
      <c r="I106" s="8">
        <f>Tabelle_alle_Kennzahlen[[#This Row],[value (research)]]/1000</f>
        <v>0.16</v>
      </c>
      <c r="J106">
        <f>Tabelle_alle_Kennzahlen[[#This Row],[publication year]]</f>
        <v>2019</v>
      </c>
    </row>
    <row r="107" spans="1:10" x14ac:dyDescent="0.3">
      <c r="A107">
        <v>90</v>
      </c>
      <c r="B107" t="s">
        <v>6</v>
      </c>
      <c r="C107">
        <v>2009</v>
      </c>
      <c r="D107" t="s">
        <v>70</v>
      </c>
      <c r="E107" t="s">
        <v>86</v>
      </c>
      <c r="F107" t="s">
        <v>2</v>
      </c>
      <c r="G107" s="8">
        <v>175</v>
      </c>
      <c r="H107" t="s">
        <v>14</v>
      </c>
      <c r="I107" s="8">
        <f>Tabelle_alle_Kennzahlen[[#This Row],[value (research)]]/1000</f>
        <v>0.17499999999999999</v>
      </c>
      <c r="J107">
        <f>Tabelle_alle_Kennzahlen[[#This Row],[publication year]]</f>
        <v>2009</v>
      </c>
    </row>
    <row r="108" spans="1:10" x14ac:dyDescent="0.3">
      <c r="A108">
        <v>111</v>
      </c>
      <c r="B108" t="s">
        <v>90</v>
      </c>
      <c r="C108">
        <v>2019</v>
      </c>
      <c r="D108" t="s">
        <v>35</v>
      </c>
      <c r="E108" t="s">
        <v>86</v>
      </c>
      <c r="F108" t="s">
        <v>2</v>
      </c>
      <c r="G108" s="8">
        <v>180</v>
      </c>
      <c r="H108" t="s">
        <v>14</v>
      </c>
      <c r="I108" s="8">
        <f>Tabelle_alle_Kennzahlen[[#This Row],[value (research)]]/1000</f>
        <v>0.18</v>
      </c>
      <c r="J108">
        <v>2019</v>
      </c>
    </row>
    <row r="109" spans="1:10" x14ac:dyDescent="0.3">
      <c r="A109">
        <v>112</v>
      </c>
      <c r="B109" t="s">
        <v>29</v>
      </c>
      <c r="C109">
        <v>2019</v>
      </c>
      <c r="D109" t="s">
        <v>31</v>
      </c>
      <c r="E109" t="s">
        <v>86</v>
      </c>
      <c r="F109" t="s">
        <v>2</v>
      </c>
      <c r="G109" s="8">
        <v>199</v>
      </c>
      <c r="H109" t="s">
        <v>14</v>
      </c>
      <c r="I109" s="8">
        <f>Tabelle_alle_Kennzahlen[[#This Row],[value (research)]]/1000</f>
        <v>0.19900000000000001</v>
      </c>
      <c r="J109">
        <f>Tabelle_alle_Kennzahlen[[#This Row],[publication year]]</f>
        <v>2019</v>
      </c>
    </row>
    <row r="110" spans="1:10" x14ac:dyDescent="0.3">
      <c r="A110">
        <v>87</v>
      </c>
      <c r="B110" t="s">
        <v>62</v>
      </c>
      <c r="C110">
        <v>2006</v>
      </c>
      <c r="E110" t="s">
        <v>86</v>
      </c>
      <c r="F110" t="s">
        <v>2</v>
      </c>
      <c r="G110" s="8">
        <v>200</v>
      </c>
      <c r="H110" t="s">
        <v>14</v>
      </c>
      <c r="I110" s="8">
        <f>Tabelle_alle_Kennzahlen[[#This Row],[value (research)]]/1000</f>
        <v>0.2</v>
      </c>
      <c r="J110">
        <v>2006</v>
      </c>
    </row>
    <row r="111" spans="1:10" x14ac:dyDescent="0.3">
      <c r="A111">
        <v>103</v>
      </c>
      <c r="B111" t="s">
        <v>63</v>
      </c>
      <c r="C111">
        <v>2017</v>
      </c>
      <c r="E111" t="s">
        <v>86</v>
      </c>
      <c r="F111" t="s">
        <v>2</v>
      </c>
      <c r="G111" s="8">
        <v>200</v>
      </c>
      <c r="H111" t="s">
        <v>14</v>
      </c>
      <c r="I111" s="8">
        <f>Tabelle_alle_Kennzahlen[[#This Row],[value (research)]]/1000</f>
        <v>0.2</v>
      </c>
      <c r="J111">
        <f>Tabelle_alle_Kennzahlen[[#This Row],[publication year]]</f>
        <v>2017</v>
      </c>
    </row>
    <row r="112" spans="1:10" x14ac:dyDescent="0.3">
      <c r="A112">
        <v>113</v>
      </c>
      <c r="B112" t="s">
        <v>90</v>
      </c>
      <c r="C112">
        <v>2019</v>
      </c>
      <c r="D112" t="s">
        <v>33</v>
      </c>
      <c r="E112" t="s">
        <v>86</v>
      </c>
      <c r="F112" t="s">
        <v>2</v>
      </c>
      <c r="G112" s="8">
        <v>200</v>
      </c>
      <c r="H112" t="s">
        <v>14</v>
      </c>
      <c r="I112" s="8">
        <f>Tabelle_alle_Kennzahlen[[#This Row],[value (research)]]/1000</f>
        <v>0.2</v>
      </c>
      <c r="J112">
        <f>Tabelle_alle_Kennzahlen[[#This Row],[publication year]]</f>
        <v>2019</v>
      </c>
    </row>
    <row r="113" spans="1:11" x14ac:dyDescent="0.3">
      <c r="A113">
        <v>104</v>
      </c>
      <c r="B113" t="s">
        <v>21</v>
      </c>
      <c r="C113">
        <v>2017</v>
      </c>
      <c r="D113" t="s">
        <v>23</v>
      </c>
      <c r="E113" t="s">
        <v>86</v>
      </c>
      <c r="F113" t="s">
        <v>2</v>
      </c>
      <c r="G113" s="8">
        <v>220</v>
      </c>
      <c r="H113" t="s">
        <v>14</v>
      </c>
      <c r="I113" s="8">
        <f>Tabelle_alle_Kennzahlen[[#This Row],[value (research)]]/1000</f>
        <v>0.22</v>
      </c>
      <c r="J113">
        <f>Tabelle_alle_Kennzahlen[[#This Row],[publication year]]</f>
        <v>2017</v>
      </c>
    </row>
    <row r="114" spans="1:11" x14ac:dyDescent="0.3">
      <c r="A114">
        <v>105</v>
      </c>
      <c r="B114" t="s">
        <v>63</v>
      </c>
      <c r="C114">
        <v>2017</v>
      </c>
      <c r="E114" t="s">
        <v>86</v>
      </c>
      <c r="F114" t="s">
        <v>2</v>
      </c>
      <c r="G114" s="8">
        <v>250</v>
      </c>
      <c r="H114" t="s">
        <v>14</v>
      </c>
      <c r="I114" s="8">
        <f>Tabelle_alle_Kennzahlen[[#This Row],[value (research)]]/1000</f>
        <v>0.25</v>
      </c>
      <c r="J114">
        <f>Tabelle_alle_Kennzahlen[[#This Row],[publication year]]</f>
        <v>2017</v>
      </c>
    </row>
    <row r="115" spans="1:11" x14ac:dyDescent="0.3">
      <c r="A115">
        <v>106</v>
      </c>
      <c r="B115" t="s">
        <v>63</v>
      </c>
      <c r="C115">
        <v>2017</v>
      </c>
      <c r="E115" t="s">
        <v>86</v>
      </c>
      <c r="F115" t="s">
        <v>2</v>
      </c>
      <c r="G115" s="8">
        <v>250</v>
      </c>
      <c r="H115" t="s">
        <v>14</v>
      </c>
      <c r="I115" s="8">
        <f>Tabelle_alle_Kennzahlen[[#This Row],[value (research)]]/1000</f>
        <v>0.25</v>
      </c>
      <c r="J115">
        <f>Tabelle_alle_Kennzahlen[[#This Row],[publication year]]</f>
        <v>2017</v>
      </c>
    </row>
    <row r="116" spans="1:11" x14ac:dyDescent="0.3">
      <c r="A116">
        <v>114</v>
      </c>
      <c r="B116" t="s">
        <v>90</v>
      </c>
      <c r="C116">
        <v>2019</v>
      </c>
      <c r="D116" t="s">
        <v>34</v>
      </c>
      <c r="E116" t="s">
        <v>86</v>
      </c>
      <c r="F116" t="s">
        <v>2</v>
      </c>
      <c r="G116" s="8">
        <v>250</v>
      </c>
      <c r="H116" t="s">
        <v>14</v>
      </c>
      <c r="I116" s="8">
        <f>Tabelle_alle_Kennzahlen[[#This Row],[value (research)]]/1000</f>
        <v>0.25</v>
      </c>
      <c r="J116">
        <f>Tabelle_alle_Kennzahlen[[#This Row],[publication year]]</f>
        <v>2019</v>
      </c>
    </row>
    <row r="117" spans="1:11" x14ac:dyDescent="0.3">
      <c r="A117">
        <v>115</v>
      </c>
      <c r="B117" t="s">
        <v>65</v>
      </c>
      <c r="C117">
        <v>2015</v>
      </c>
      <c r="E117" t="s">
        <v>86</v>
      </c>
      <c r="F117" t="s">
        <v>2</v>
      </c>
      <c r="G117" s="8">
        <v>250</v>
      </c>
      <c r="H117" t="s">
        <v>14</v>
      </c>
      <c r="I117" s="8">
        <f>Tabelle_alle_Kennzahlen[[#This Row],[value (research)]]/1000</f>
        <v>0.25</v>
      </c>
      <c r="J117">
        <v>2020</v>
      </c>
    </row>
    <row r="118" spans="1:11" x14ac:dyDescent="0.3">
      <c r="A118">
        <v>116</v>
      </c>
      <c r="B118" t="s">
        <v>90</v>
      </c>
      <c r="C118">
        <v>2019</v>
      </c>
      <c r="D118" t="s">
        <v>35</v>
      </c>
      <c r="E118" t="s">
        <v>86</v>
      </c>
      <c r="F118" t="s">
        <v>2</v>
      </c>
      <c r="G118" s="8">
        <v>310</v>
      </c>
      <c r="H118" t="s">
        <v>14</v>
      </c>
      <c r="I118" s="8">
        <f>Tabelle_alle_Kennzahlen[[#This Row],[value (research)]]/1000</f>
        <v>0.31</v>
      </c>
      <c r="J118">
        <v>2025</v>
      </c>
    </row>
    <row r="119" spans="1:11" x14ac:dyDescent="0.3">
      <c r="A119">
        <v>117</v>
      </c>
      <c r="B119" t="s">
        <v>63</v>
      </c>
      <c r="C119">
        <v>2017</v>
      </c>
      <c r="D119" t="s">
        <v>64</v>
      </c>
      <c r="E119" t="s">
        <v>86</v>
      </c>
      <c r="F119" t="s">
        <v>2</v>
      </c>
      <c r="G119" s="8">
        <v>400</v>
      </c>
      <c r="H119" t="s">
        <v>14</v>
      </c>
      <c r="I119" s="8">
        <f>Tabelle_alle_Kennzahlen[[#This Row],[value (research)]]/1000</f>
        <v>0.4</v>
      </c>
      <c r="J119">
        <f>Tabelle_alle_Kennzahlen[[#This Row],[publication year]]</f>
        <v>2017</v>
      </c>
      <c r="K119" s="3"/>
    </row>
    <row r="120" spans="1:11" x14ac:dyDescent="0.3">
      <c r="A120">
        <v>118</v>
      </c>
      <c r="B120" t="s">
        <v>90</v>
      </c>
      <c r="C120">
        <v>2019</v>
      </c>
      <c r="D120" t="s">
        <v>35</v>
      </c>
      <c r="E120" t="s">
        <v>86</v>
      </c>
      <c r="F120" t="s">
        <v>2</v>
      </c>
      <c r="G120" s="8">
        <v>460</v>
      </c>
      <c r="H120" t="s">
        <v>14</v>
      </c>
      <c r="I120" s="8">
        <f>Tabelle_alle_Kennzahlen[[#This Row],[value (research)]]/1000</f>
        <v>0.46</v>
      </c>
      <c r="J120">
        <v>2025</v>
      </c>
    </row>
    <row r="121" spans="1:11" x14ac:dyDescent="0.3">
      <c r="A121">
        <v>119</v>
      </c>
      <c r="B121" t="s">
        <v>63</v>
      </c>
      <c r="C121">
        <v>2017</v>
      </c>
      <c r="D121" t="s">
        <v>64</v>
      </c>
      <c r="E121" t="s">
        <v>86</v>
      </c>
      <c r="F121" t="s">
        <v>2</v>
      </c>
      <c r="G121" s="8">
        <v>500</v>
      </c>
      <c r="H121" t="s">
        <v>14</v>
      </c>
      <c r="I121" s="8">
        <f>Tabelle_alle_Kennzahlen[[#This Row],[value (research)]]/1000</f>
        <v>0.5</v>
      </c>
      <c r="J121">
        <f>Tabelle_alle_Kennzahlen[[#This Row],[publication year]]</f>
        <v>2017</v>
      </c>
    </row>
    <row r="122" spans="1:11" x14ac:dyDescent="0.3">
      <c r="A122">
        <v>120</v>
      </c>
      <c r="B122" t="s">
        <v>65</v>
      </c>
      <c r="C122">
        <v>2015</v>
      </c>
      <c r="E122" t="s">
        <v>86</v>
      </c>
      <c r="F122" t="s">
        <v>2</v>
      </c>
      <c r="G122" s="8">
        <v>500</v>
      </c>
      <c r="H122" t="s">
        <v>14</v>
      </c>
      <c r="I122" s="8">
        <f>Tabelle_alle_Kennzahlen[[#This Row],[value (research)]]/1000</f>
        <v>0.5</v>
      </c>
      <c r="J122">
        <v>2030</v>
      </c>
    </row>
    <row r="123" spans="1:11" x14ac:dyDescent="0.3">
      <c r="A123">
        <v>121</v>
      </c>
      <c r="B123" t="s">
        <v>65</v>
      </c>
      <c r="C123">
        <v>2015</v>
      </c>
      <c r="E123" t="s">
        <v>86</v>
      </c>
      <c r="F123" t="s">
        <v>2</v>
      </c>
      <c r="G123" s="8">
        <v>700</v>
      </c>
      <c r="H123" t="s">
        <v>14</v>
      </c>
      <c r="I123" s="8">
        <f>Tabelle_alle_Kennzahlen[[#This Row],[value (research)]]/1000</f>
        <v>0.7</v>
      </c>
      <c r="J123">
        <v>2040</v>
      </c>
    </row>
    <row r="128" spans="1:11" ht="14.4" customHeight="1" x14ac:dyDescent="0.3"/>
    <row r="130" spans="5:9" ht="14.4" customHeight="1" x14ac:dyDescent="0.3"/>
    <row r="132" spans="5:9" ht="15" customHeight="1" x14ac:dyDescent="0.3"/>
    <row r="133" spans="5:9" ht="15" customHeight="1" x14ac:dyDescent="0.3"/>
    <row r="136" spans="5:9" ht="30" customHeight="1" x14ac:dyDescent="0.3"/>
    <row r="139" spans="5:9" ht="15" customHeight="1" x14ac:dyDescent="0.3"/>
    <row r="140" spans="5:9" ht="15" customHeight="1" x14ac:dyDescent="0.3"/>
    <row r="141" spans="5:9" x14ac:dyDescent="0.3">
      <c r="I141" s="10"/>
    </row>
    <row r="142" spans="5:9" x14ac:dyDescent="0.3">
      <c r="I142" s="10"/>
    </row>
    <row r="143" spans="5:9" x14ac:dyDescent="0.3">
      <c r="I143" s="3"/>
    </row>
    <row r="144" spans="5:9" x14ac:dyDescent="0.3">
      <c r="E144" s="3"/>
      <c r="F144" s="3"/>
      <c r="G144" s="3"/>
      <c r="H144" s="3"/>
      <c r="I144" s="3"/>
    </row>
    <row r="145" spans="9:9" x14ac:dyDescent="0.3">
      <c r="I145" s="3"/>
    </row>
    <row r="146" spans="9:9" x14ac:dyDescent="0.3">
      <c r="I146" s="3"/>
    </row>
    <row r="147" spans="9:9" x14ac:dyDescent="0.3">
      <c r="I147" s="3"/>
    </row>
    <row r="148" spans="9:9" x14ac:dyDescent="0.3">
      <c r="I148" s="3"/>
    </row>
    <row r="149" spans="9:9" x14ac:dyDescent="0.3">
      <c r="I149" s="3"/>
    </row>
    <row r="150" spans="9:9" x14ac:dyDescent="0.3">
      <c r="I150" s="3"/>
    </row>
    <row r="151" spans="9:9" x14ac:dyDescent="0.3">
      <c r="I151" s="3"/>
    </row>
    <row r="152" spans="9:9" x14ac:dyDescent="0.3">
      <c r="I152" s="3"/>
    </row>
    <row r="153" spans="9:9" x14ac:dyDescent="0.3">
      <c r="I153" s="3"/>
    </row>
    <row r="154" spans="9:9" x14ac:dyDescent="0.3">
      <c r="I154" s="3"/>
    </row>
    <row r="155" spans="9:9" x14ac:dyDescent="0.3">
      <c r="I155" s="3"/>
    </row>
    <row r="158" spans="9:9" x14ac:dyDescent="0.3">
      <c r="I158" s="3"/>
    </row>
    <row r="159" spans="9:9" x14ac:dyDescent="0.3">
      <c r="I159" s="3"/>
    </row>
    <row r="160" spans="9:9" x14ac:dyDescent="0.3">
      <c r="I160" s="3"/>
    </row>
    <row r="161" spans="9:9" x14ac:dyDescent="0.3">
      <c r="I161" s="3"/>
    </row>
    <row r="162" spans="9:9" x14ac:dyDescent="0.3">
      <c r="I162" s="3"/>
    </row>
    <row r="163" spans="9:9" x14ac:dyDescent="0.3">
      <c r="I163" s="3"/>
    </row>
    <row r="164" spans="9:9" x14ac:dyDescent="0.3">
      <c r="I164" s="3"/>
    </row>
    <row r="165" spans="9:9" x14ac:dyDescent="0.3">
      <c r="I165" s="3"/>
    </row>
    <row r="166" spans="9:9" x14ac:dyDescent="0.3">
      <c r="I166" s="3"/>
    </row>
    <row r="167" spans="9:9" x14ac:dyDescent="0.3">
      <c r="I167" s="3"/>
    </row>
    <row r="168" spans="9:9" x14ac:dyDescent="0.3">
      <c r="I168" s="3"/>
    </row>
    <row r="169" spans="9:9" x14ac:dyDescent="0.3">
      <c r="I169" s="3"/>
    </row>
    <row r="170" spans="9:9" x14ac:dyDescent="0.3">
      <c r="I170" s="3"/>
    </row>
    <row r="171" spans="9:9" x14ac:dyDescent="0.3">
      <c r="I171" s="3"/>
    </row>
    <row r="172" spans="9:9" x14ac:dyDescent="0.3">
      <c r="I172" s="3"/>
    </row>
    <row r="173" spans="9:9" x14ac:dyDescent="0.3">
      <c r="I173" s="3"/>
    </row>
    <row r="174" spans="9:9" x14ac:dyDescent="0.3">
      <c r="I174" s="3"/>
    </row>
    <row r="175" spans="9:9" x14ac:dyDescent="0.3">
      <c r="I175" s="3"/>
    </row>
    <row r="176" spans="9:9" x14ac:dyDescent="0.3">
      <c r="I176" s="3"/>
    </row>
    <row r="177" spans="2:9" x14ac:dyDescent="0.3">
      <c r="I177" s="3"/>
    </row>
    <row r="178" spans="2:9" x14ac:dyDescent="0.3">
      <c r="I178" s="3"/>
    </row>
    <row r="179" spans="2:9" x14ac:dyDescent="0.3">
      <c r="I179" s="3"/>
    </row>
    <row r="180" spans="2:9" x14ac:dyDescent="0.3">
      <c r="I180" s="3"/>
    </row>
    <row r="181" spans="2:9" x14ac:dyDescent="0.3">
      <c r="I181" s="3"/>
    </row>
    <row r="183" spans="2:9" x14ac:dyDescent="0.3">
      <c r="I183" s="3"/>
    </row>
    <row r="184" spans="2:9" x14ac:dyDescent="0.3">
      <c r="I184" s="3"/>
    </row>
    <row r="187" spans="2:9" x14ac:dyDescent="0.3">
      <c r="B187" s="9"/>
    </row>
  </sheetData>
  <mergeCells count="1">
    <mergeCell ref="A1:J1"/>
  </mergeCells>
  <conditionalFormatting sqref="L67:L79 J137:J152 J166:J175 J3:J89">
    <cfRule type="containsText" dxfId="5" priority="15" operator="containsText" text="NEIN">
      <formula>NOT(ISERROR(SEARCH("NEIN",J3)))</formula>
    </cfRule>
    <cfRule type="containsText" dxfId="4" priority="16" operator="containsText" text="JA">
      <formula>NOT(ISERROR(SEARCH("JA",J3)))</formula>
    </cfRule>
  </conditionalFormatting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30:G134"/>
  <sheetViews>
    <sheetView workbookViewId="0">
      <selection activeCell="D30" sqref="D30"/>
    </sheetView>
  </sheetViews>
  <sheetFormatPr defaultRowHeight="14.4" x14ac:dyDescent="0.3"/>
  <cols>
    <col min="1" max="1" width="77.33203125" customWidth="1"/>
    <col min="2" max="2" width="24.6640625" bestFit="1" customWidth="1"/>
    <col min="5" max="7" width="13.109375" customWidth="1"/>
  </cols>
  <sheetData>
    <row r="30" spans="1:2" x14ac:dyDescent="0.3">
      <c r="A30" s="5" t="s">
        <v>0</v>
      </c>
      <c r="B30" t="s">
        <v>86</v>
      </c>
    </row>
    <row r="32" spans="1:2" x14ac:dyDescent="0.3">
      <c r="A32" s="5" t="s">
        <v>66</v>
      </c>
      <c r="B32" t="s">
        <v>67</v>
      </c>
    </row>
    <row r="33" spans="1:7" x14ac:dyDescent="0.3">
      <c r="A33" s="6">
        <v>1998</v>
      </c>
      <c r="B33" s="3">
        <v>0.1192857142857143</v>
      </c>
    </row>
    <row r="34" spans="1:7" x14ac:dyDescent="0.3">
      <c r="A34" s="7">
        <v>77</v>
      </c>
      <c r="B34" s="3"/>
    </row>
    <row r="35" spans="1:7" x14ac:dyDescent="0.3">
      <c r="A35" s="11" t="s">
        <v>1</v>
      </c>
      <c r="B35" s="3">
        <v>0.05</v>
      </c>
    </row>
    <row r="36" spans="1:7" ht="15" thickBot="1" x14ac:dyDescent="0.35">
      <c r="A36" s="7">
        <v>78</v>
      </c>
      <c r="B36" s="3"/>
      <c r="D36" s="9" t="s">
        <v>83</v>
      </c>
    </row>
    <row r="37" spans="1:7" x14ac:dyDescent="0.3">
      <c r="A37" s="11" t="s">
        <v>1</v>
      </c>
      <c r="B37" s="3">
        <v>8.5000000000000006E-2</v>
      </c>
      <c r="D37" s="37" t="s">
        <v>101</v>
      </c>
      <c r="E37" s="38" t="s">
        <v>102</v>
      </c>
      <c r="F37" s="38" t="s">
        <v>76</v>
      </c>
      <c r="G37" s="39" t="s">
        <v>103</v>
      </c>
    </row>
    <row r="38" spans="1:7" x14ac:dyDescent="0.3">
      <c r="A38" s="7">
        <v>79</v>
      </c>
      <c r="B38" s="3"/>
      <c r="D38" s="40">
        <v>2019</v>
      </c>
      <c r="E38" s="36">
        <v>0.1</v>
      </c>
      <c r="F38" s="36">
        <v>0.1</v>
      </c>
      <c r="G38" s="41">
        <v>0.1</v>
      </c>
    </row>
    <row r="39" spans="1:7" x14ac:dyDescent="0.3">
      <c r="A39" s="11" t="s">
        <v>1</v>
      </c>
      <c r="B39" s="3">
        <v>0.12</v>
      </c>
      <c r="D39" s="40">
        <v>2020</v>
      </c>
      <c r="E39" s="36"/>
      <c r="F39" s="36"/>
      <c r="G39" s="41"/>
    </row>
    <row r="40" spans="1:7" x14ac:dyDescent="0.3">
      <c r="A40" s="7">
        <v>80</v>
      </c>
      <c r="B40" s="3"/>
      <c r="D40" s="40">
        <v>2021</v>
      </c>
      <c r="E40" s="36"/>
      <c r="F40" s="36"/>
      <c r="G40" s="41"/>
    </row>
    <row r="41" spans="1:7" x14ac:dyDescent="0.3">
      <c r="A41" s="11" t="s">
        <v>1</v>
      </c>
      <c r="B41" s="3">
        <v>0.12</v>
      </c>
      <c r="D41" s="40">
        <v>2022</v>
      </c>
      <c r="E41" s="36"/>
      <c r="F41" s="36"/>
      <c r="G41" s="41"/>
    </row>
    <row r="42" spans="1:7" x14ac:dyDescent="0.3">
      <c r="A42" s="7">
        <v>81</v>
      </c>
      <c r="B42" s="3"/>
      <c r="D42" s="40">
        <v>2023</v>
      </c>
      <c r="E42" s="36"/>
      <c r="F42" s="36">
        <v>0.14000000000000001</v>
      </c>
      <c r="G42" s="41"/>
    </row>
    <row r="43" spans="1:7" x14ac:dyDescent="0.3">
      <c r="A43" s="11" t="s">
        <v>1</v>
      </c>
      <c r="B43" s="3">
        <v>0.15</v>
      </c>
      <c r="D43" s="40">
        <v>2024</v>
      </c>
      <c r="E43" s="36"/>
      <c r="F43" s="36"/>
      <c r="G43" s="41"/>
    </row>
    <row r="44" spans="1:7" x14ac:dyDescent="0.3">
      <c r="A44" s="7">
        <v>82</v>
      </c>
      <c r="B44" s="3"/>
      <c r="D44" s="40">
        <v>2025</v>
      </c>
      <c r="E44" s="36"/>
      <c r="F44" s="36"/>
      <c r="G44" s="41"/>
    </row>
    <row r="45" spans="1:7" x14ac:dyDescent="0.3">
      <c r="A45" s="11" t="s">
        <v>1</v>
      </c>
      <c r="B45" s="3">
        <v>0.15</v>
      </c>
      <c r="D45" s="40">
        <v>2026</v>
      </c>
      <c r="E45" s="36"/>
      <c r="F45" s="36"/>
      <c r="G45" s="41"/>
    </row>
    <row r="46" spans="1:7" x14ac:dyDescent="0.3">
      <c r="A46" s="7">
        <v>83</v>
      </c>
      <c r="B46" s="3"/>
      <c r="D46" s="40">
        <v>2027</v>
      </c>
      <c r="E46" s="36"/>
      <c r="F46" s="36"/>
      <c r="G46" s="41"/>
    </row>
    <row r="47" spans="1:7" x14ac:dyDescent="0.3">
      <c r="A47" s="11" t="s">
        <v>1</v>
      </c>
      <c r="B47" s="3">
        <v>0.16</v>
      </c>
      <c r="D47" s="40">
        <v>2028</v>
      </c>
      <c r="E47" s="36"/>
      <c r="F47" s="36"/>
      <c r="G47" s="41"/>
    </row>
    <row r="48" spans="1:7" x14ac:dyDescent="0.3">
      <c r="A48" s="6">
        <v>2006</v>
      </c>
      <c r="B48" s="3">
        <v>8.1250000000000003E-2</v>
      </c>
      <c r="D48" s="40">
        <v>2029</v>
      </c>
      <c r="E48" s="36">
        <v>0.16</v>
      </c>
      <c r="F48" s="36">
        <v>0.2</v>
      </c>
      <c r="G48" s="41"/>
    </row>
    <row r="49" spans="1:7" x14ac:dyDescent="0.3">
      <c r="A49" s="7">
        <v>84</v>
      </c>
      <c r="B49" s="3"/>
      <c r="D49" s="40">
        <v>2030</v>
      </c>
      <c r="E49" s="36"/>
      <c r="F49" s="36"/>
      <c r="G49" s="41"/>
    </row>
    <row r="50" spans="1:7" x14ac:dyDescent="0.3">
      <c r="A50" s="11" t="s">
        <v>62</v>
      </c>
      <c r="B50" s="3">
        <v>5.0000000000000001E-3</v>
      </c>
      <c r="D50" s="40">
        <v>2031</v>
      </c>
      <c r="E50" s="36"/>
      <c r="F50" s="36"/>
      <c r="G50" s="41"/>
    </row>
    <row r="51" spans="1:7" x14ac:dyDescent="0.3">
      <c r="A51" s="7">
        <v>85</v>
      </c>
      <c r="B51" s="3"/>
      <c r="D51" s="40">
        <v>2032</v>
      </c>
      <c r="E51" s="36"/>
      <c r="F51" s="36">
        <v>0.3</v>
      </c>
      <c r="G51" s="41"/>
    </row>
    <row r="52" spans="1:7" x14ac:dyDescent="0.3">
      <c r="A52" s="11" t="s">
        <v>62</v>
      </c>
      <c r="B52" s="3">
        <v>0.02</v>
      </c>
      <c r="D52" s="40">
        <v>2033</v>
      </c>
      <c r="E52" s="36"/>
      <c r="F52" s="36"/>
      <c r="G52" s="41"/>
    </row>
    <row r="53" spans="1:7" x14ac:dyDescent="0.3">
      <c r="A53" s="7">
        <v>86</v>
      </c>
      <c r="B53" s="3"/>
      <c r="D53" s="40">
        <v>2034</v>
      </c>
      <c r="E53" s="36"/>
      <c r="F53" s="36"/>
      <c r="G53" s="41"/>
    </row>
    <row r="54" spans="1:7" x14ac:dyDescent="0.3">
      <c r="A54" s="11" t="s">
        <v>62</v>
      </c>
      <c r="B54" s="3">
        <v>0.1</v>
      </c>
      <c r="D54" s="40">
        <v>2035</v>
      </c>
      <c r="E54" s="36"/>
      <c r="F54" s="36"/>
      <c r="G54" s="41"/>
    </row>
    <row r="55" spans="1:7" x14ac:dyDescent="0.3">
      <c r="A55" s="7">
        <v>87</v>
      </c>
      <c r="B55" s="3"/>
      <c r="D55" s="40">
        <v>2036</v>
      </c>
      <c r="E55" s="36">
        <v>0.35</v>
      </c>
      <c r="F55" s="36">
        <v>0.45</v>
      </c>
      <c r="G55" s="41">
        <v>0.55000000000000004</v>
      </c>
    </row>
    <row r="56" spans="1:7" x14ac:dyDescent="0.3">
      <c r="A56" s="11" t="s">
        <v>62</v>
      </c>
      <c r="B56" s="3">
        <v>0.2</v>
      </c>
      <c r="D56" s="40">
        <v>2037</v>
      </c>
      <c r="E56" s="36"/>
      <c r="F56" s="36"/>
      <c r="G56" s="41"/>
    </row>
    <row r="57" spans="1:7" x14ac:dyDescent="0.3">
      <c r="A57" s="6">
        <v>2009</v>
      </c>
      <c r="B57" s="3">
        <v>0.121</v>
      </c>
      <c r="D57" s="40">
        <v>2038</v>
      </c>
      <c r="E57" s="36"/>
      <c r="F57" s="36"/>
      <c r="G57" s="41"/>
    </row>
    <row r="58" spans="1:7" x14ac:dyDescent="0.3">
      <c r="A58" s="7">
        <v>88</v>
      </c>
      <c r="B58" s="3"/>
      <c r="D58" s="40">
        <v>2039</v>
      </c>
      <c r="E58" s="36"/>
      <c r="F58" s="36"/>
      <c r="G58" s="41"/>
    </row>
    <row r="59" spans="1:7" x14ac:dyDescent="0.3">
      <c r="A59" s="11" t="s">
        <v>4</v>
      </c>
      <c r="B59" s="3">
        <v>0.08</v>
      </c>
      <c r="D59" s="40">
        <v>2040</v>
      </c>
      <c r="E59" s="36"/>
      <c r="F59" s="36"/>
      <c r="G59" s="41"/>
    </row>
    <row r="60" spans="1:7" x14ac:dyDescent="0.3">
      <c r="A60" s="7">
        <v>89</v>
      </c>
      <c r="B60" s="3"/>
      <c r="D60" s="40">
        <v>2041</v>
      </c>
      <c r="E60" s="36"/>
      <c r="F60" s="36">
        <v>0.55000000000000004</v>
      </c>
      <c r="G60" s="41"/>
    </row>
    <row r="61" spans="1:7" x14ac:dyDescent="0.3">
      <c r="A61" s="11" t="s">
        <v>5</v>
      </c>
      <c r="B61" s="3">
        <v>0.108</v>
      </c>
      <c r="D61" s="40">
        <v>2042</v>
      </c>
      <c r="E61" s="36"/>
      <c r="F61" s="36"/>
      <c r="G61" s="41"/>
    </row>
    <row r="62" spans="1:7" x14ac:dyDescent="0.3">
      <c r="A62" s="7">
        <v>90</v>
      </c>
      <c r="B62" s="3"/>
      <c r="D62" s="40">
        <v>2043</v>
      </c>
      <c r="E62" s="36"/>
      <c r="F62" s="36"/>
      <c r="G62" s="41"/>
    </row>
    <row r="63" spans="1:7" x14ac:dyDescent="0.3">
      <c r="A63" s="11" t="s">
        <v>6</v>
      </c>
      <c r="B63" s="3">
        <v>0.17499999999999999</v>
      </c>
      <c r="D63" s="40">
        <v>2044</v>
      </c>
      <c r="E63" s="36"/>
      <c r="F63" s="36"/>
      <c r="G63" s="41"/>
    </row>
    <row r="64" spans="1:7" x14ac:dyDescent="0.3">
      <c r="A64" s="6">
        <v>2015</v>
      </c>
      <c r="B64" s="3">
        <v>0.1</v>
      </c>
      <c r="D64" s="40">
        <v>2045</v>
      </c>
      <c r="E64" s="36"/>
      <c r="F64" s="36"/>
      <c r="G64" s="41"/>
    </row>
    <row r="65" spans="1:7" x14ac:dyDescent="0.3">
      <c r="A65" s="7">
        <v>91</v>
      </c>
      <c r="B65" s="3"/>
      <c r="D65" s="40">
        <v>2046</v>
      </c>
      <c r="E65" s="36"/>
      <c r="F65" s="36"/>
      <c r="G65" s="41"/>
    </row>
    <row r="66" spans="1:7" x14ac:dyDescent="0.3">
      <c r="A66" s="11" t="s">
        <v>73</v>
      </c>
      <c r="B66" s="3">
        <v>8.5000000000000006E-2</v>
      </c>
      <c r="D66" s="40">
        <v>2047</v>
      </c>
      <c r="E66" s="36"/>
      <c r="F66" s="36"/>
      <c r="G66" s="41"/>
    </row>
    <row r="67" spans="1:7" x14ac:dyDescent="0.3">
      <c r="A67" s="7">
        <v>92</v>
      </c>
      <c r="B67" s="3"/>
      <c r="D67" s="40">
        <v>2048</v>
      </c>
      <c r="E67" s="36"/>
      <c r="F67" s="36"/>
      <c r="G67" s="41"/>
    </row>
    <row r="68" spans="1:7" x14ac:dyDescent="0.3">
      <c r="A68" s="11" t="s">
        <v>73</v>
      </c>
      <c r="B68" s="3">
        <v>0.115</v>
      </c>
      <c r="D68" s="40">
        <v>2049</v>
      </c>
      <c r="E68" s="36"/>
      <c r="F68" s="36"/>
      <c r="G68" s="41"/>
    </row>
    <row r="69" spans="1:7" ht="15" thickBot="1" x14ac:dyDescent="0.35">
      <c r="A69" s="6">
        <v>2016</v>
      </c>
      <c r="B69" s="3">
        <v>0.10920000000000001</v>
      </c>
      <c r="D69" s="42">
        <v>2050</v>
      </c>
      <c r="E69" s="43">
        <v>0.6</v>
      </c>
      <c r="F69" s="43">
        <v>0.7</v>
      </c>
      <c r="G69" s="44">
        <v>0.7</v>
      </c>
    </row>
    <row r="70" spans="1:7" x14ac:dyDescent="0.3">
      <c r="A70" s="7">
        <v>93</v>
      </c>
      <c r="B70" s="3"/>
    </row>
    <row r="71" spans="1:7" x14ac:dyDescent="0.3">
      <c r="A71" s="11" t="s">
        <v>13</v>
      </c>
      <c r="B71" s="3">
        <v>0.08</v>
      </c>
    </row>
    <row r="72" spans="1:7" x14ac:dyDescent="0.3">
      <c r="A72" s="7">
        <v>94</v>
      </c>
      <c r="B72" s="3"/>
    </row>
    <row r="73" spans="1:7" x14ac:dyDescent="0.3">
      <c r="A73" s="11" t="s">
        <v>13</v>
      </c>
      <c r="B73" s="3">
        <v>0.11</v>
      </c>
    </row>
    <row r="74" spans="1:7" x14ac:dyDescent="0.3">
      <c r="A74" s="7">
        <v>95</v>
      </c>
      <c r="B74" s="3"/>
    </row>
    <row r="75" spans="1:7" x14ac:dyDescent="0.3">
      <c r="A75" s="11" t="s">
        <v>13</v>
      </c>
      <c r="B75" s="3">
        <v>0.112</v>
      </c>
    </row>
    <row r="76" spans="1:7" x14ac:dyDescent="0.3">
      <c r="A76" s="7">
        <v>96</v>
      </c>
      <c r="B76" s="3"/>
    </row>
    <row r="77" spans="1:7" x14ac:dyDescent="0.3">
      <c r="A77" s="11" t="s">
        <v>13</v>
      </c>
      <c r="B77" s="3">
        <v>0.114</v>
      </c>
    </row>
    <row r="78" spans="1:7" x14ac:dyDescent="0.3">
      <c r="A78" s="7">
        <v>97</v>
      </c>
      <c r="B78" s="3"/>
    </row>
    <row r="79" spans="1:7" x14ac:dyDescent="0.3">
      <c r="A79" s="11" t="s">
        <v>13</v>
      </c>
      <c r="B79" s="3">
        <v>0.13</v>
      </c>
    </row>
    <row r="80" spans="1:7" x14ac:dyDescent="0.3">
      <c r="A80" s="6">
        <v>2017</v>
      </c>
      <c r="B80" s="3">
        <v>0.21499999999999997</v>
      </c>
    </row>
    <row r="81" spans="1:2" x14ac:dyDescent="0.3">
      <c r="A81" s="7">
        <v>98</v>
      </c>
      <c r="B81" s="3"/>
    </row>
    <row r="82" spans="1:2" x14ac:dyDescent="0.3">
      <c r="A82" s="11" t="s">
        <v>63</v>
      </c>
      <c r="B82" s="3">
        <v>0.06</v>
      </c>
    </row>
    <row r="83" spans="1:2" x14ac:dyDescent="0.3">
      <c r="A83" s="7">
        <v>99</v>
      </c>
      <c r="B83" s="3"/>
    </row>
    <row r="84" spans="1:2" x14ac:dyDescent="0.3">
      <c r="A84" s="11" t="s">
        <v>38</v>
      </c>
      <c r="B84" s="3">
        <v>0.105</v>
      </c>
    </row>
    <row r="85" spans="1:2" x14ac:dyDescent="0.3">
      <c r="A85" s="7">
        <v>100</v>
      </c>
      <c r="B85" s="3"/>
    </row>
    <row r="86" spans="1:2" x14ac:dyDescent="0.3">
      <c r="A86" s="11" t="s">
        <v>21</v>
      </c>
      <c r="B86" s="3">
        <v>0.12</v>
      </c>
    </row>
    <row r="87" spans="1:2" x14ac:dyDescent="0.3">
      <c r="A87" s="7">
        <v>101</v>
      </c>
      <c r="B87" s="3"/>
    </row>
    <row r="88" spans="1:2" x14ac:dyDescent="0.3">
      <c r="A88" s="11" t="s">
        <v>38</v>
      </c>
      <c r="B88" s="3">
        <v>0.13</v>
      </c>
    </row>
    <row r="89" spans="1:2" x14ac:dyDescent="0.3">
      <c r="A89" s="7">
        <v>102</v>
      </c>
      <c r="B89" s="3"/>
    </row>
    <row r="90" spans="1:2" x14ac:dyDescent="0.3">
      <c r="A90" s="11" t="s">
        <v>63</v>
      </c>
      <c r="B90" s="3">
        <v>0.13</v>
      </c>
    </row>
    <row r="91" spans="1:2" x14ac:dyDescent="0.3">
      <c r="A91" s="7">
        <v>103</v>
      </c>
      <c r="B91" s="3"/>
    </row>
    <row r="92" spans="1:2" x14ac:dyDescent="0.3">
      <c r="A92" s="11" t="s">
        <v>63</v>
      </c>
      <c r="B92" s="3">
        <v>0.2</v>
      </c>
    </row>
    <row r="93" spans="1:2" x14ac:dyDescent="0.3">
      <c r="A93" s="7">
        <v>104</v>
      </c>
      <c r="B93" s="3"/>
    </row>
    <row r="94" spans="1:2" x14ac:dyDescent="0.3">
      <c r="A94" s="11" t="s">
        <v>21</v>
      </c>
      <c r="B94" s="3">
        <v>0.22</v>
      </c>
    </row>
    <row r="95" spans="1:2" x14ac:dyDescent="0.3">
      <c r="A95" s="7">
        <v>105</v>
      </c>
      <c r="B95" s="3"/>
    </row>
    <row r="96" spans="1:2" x14ac:dyDescent="0.3">
      <c r="A96" s="11" t="s">
        <v>63</v>
      </c>
      <c r="B96" s="3">
        <v>0.25</v>
      </c>
    </row>
    <row r="97" spans="1:2" x14ac:dyDescent="0.3">
      <c r="A97" s="7">
        <v>106</v>
      </c>
      <c r="B97" s="3"/>
    </row>
    <row r="98" spans="1:2" x14ac:dyDescent="0.3">
      <c r="A98" s="11" t="s">
        <v>63</v>
      </c>
      <c r="B98" s="3">
        <v>0.25</v>
      </c>
    </row>
    <row r="99" spans="1:2" x14ac:dyDescent="0.3">
      <c r="A99" s="7">
        <v>117</v>
      </c>
      <c r="B99" s="3"/>
    </row>
    <row r="100" spans="1:2" x14ac:dyDescent="0.3">
      <c r="A100" s="11" t="s">
        <v>63</v>
      </c>
      <c r="B100" s="3">
        <v>0.4</v>
      </c>
    </row>
    <row r="101" spans="1:2" x14ac:dyDescent="0.3">
      <c r="A101" s="7">
        <v>119</v>
      </c>
      <c r="B101" s="3"/>
    </row>
    <row r="102" spans="1:2" x14ac:dyDescent="0.3">
      <c r="A102" s="11" t="s">
        <v>63</v>
      </c>
      <c r="B102" s="3">
        <v>0.5</v>
      </c>
    </row>
    <row r="103" spans="1:2" x14ac:dyDescent="0.3">
      <c r="A103" s="6">
        <v>2019</v>
      </c>
      <c r="B103" s="3">
        <v>0.16675000000000001</v>
      </c>
    </row>
    <row r="104" spans="1:2" x14ac:dyDescent="0.3">
      <c r="A104" s="7">
        <v>107</v>
      </c>
      <c r="B104" s="3"/>
    </row>
    <row r="105" spans="1:2" x14ac:dyDescent="0.3">
      <c r="A105" s="11" t="s">
        <v>26</v>
      </c>
      <c r="B105" s="3">
        <v>8.2000000000000003E-2</v>
      </c>
    </row>
    <row r="106" spans="1:2" x14ac:dyDescent="0.3">
      <c r="A106" s="7">
        <v>108</v>
      </c>
      <c r="B106" s="3"/>
    </row>
    <row r="107" spans="1:2" x14ac:dyDescent="0.3">
      <c r="A107" s="11" t="s">
        <v>90</v>
      </c>
      <c r="B107" s="3">
        <v>0.125</v>
      </c>
    </row>
    <row r="108" spans="1:2" x14ac:dyDescent="0.3">
      <c r="A108" s="7">
        <v>109</v>
      </c>
      <c r="B108" s="3"/>
    </row>
    <row r="109" spans="1:2" x14ac:dyDescent="0.3">
      <c r="A109" s="11" t="s">
        <v>26</v>
      </c>
      <c r="B109" s="3">
        <v>0.13800000000000001</v>
      </c>
    </row>
    <row r="110" spans="1:2" x14ac:dyDescent="0.3">
      <c r="A110" s="7">
        <v>110</v>
      </c>
      <c r="B110" s="3"/>
    </row>
    <row r="111" spans="1:2" x14ac:dyDescent="0.3">
      <c r="A111" s="11" t="s">
        <v>29</v>
      </c>
      <c r="B111" s="3">
        <v>0.16</v>
      </c>
    </row>
    <row r="112" spans="1:2" x14ac:dyDescent="0.3">
      <c r="A112" s="7">
        <v>111</v>
      </c>
      <c r="B112" s="3"/>
    </row>
    <row r="113" spans="1:2" x14ac:dyDescent="0.3">
      <c r="A113" s="11" t="s">
        <v>90</v>
      </c>
      <c r="B113" s="3">
        <v>0.18</v>
      </c>
    </row>
    <row r="114" spans="1:2" x14ac:dyDescent="0.3">
      <c r="A114" s="7">
        <v>112</v>
      </c>
      <c r="B114" s="3"/>
    </row>
    <row r="115" spans="1:2" x14ac:dyDescent="0.3">
      <c r="A115" s="11" t="s">
        <v>29</v>
      </c>
      <c r="B115" s="3">
        <v>0.19900000000000001</v>
      </c>
    </row>
    <row r="116" spans="1:2" x14ac:dyDescent="0.3">
      <c r="A116" s="7">
        <v>113</v>
      </c>
      <c r="B116" s="3"/>
    </row>
    <row r="117" spans="1:2" x14ac:dyDescent="0.3">
      <c r="A117" s="11" t="s">
        <v>90</v>
      </c>
      <c r="B117" s="3">
        <v>0.2</v>
      </c>
    </row>
    <row r="118" spans="1:2" x14ac:dyDescent="0.3">
      <c r="A118" s="7">
        <v>114</v>
      </c>
      <c r="B118" s="3"/>
    </row>
    <row r="119" spans="1:2" x14ac:dyDescent="0.3">
      <c r="A119" s="11" t="s">
        <v>90</v>
      </c>
      <c r="B119" s="3">
        <v>0.25</v>
      </c>
    </row>
    <row r="120" spans="1:2" x14ac:dyDescent="0.3">
      <c r="A120" s="6">
        <v>2020</v>
      </c>
      <c r="B120" s="3">
        <v>0.25</v>
      </c>
    </row>
    <row r="121" spans="1:2" x14ac:dyDescent="0.3">
      <c r="A121" s="7">
        <v>115</v>
      </c>
      <c r="B121" s="3"/>
    </row>
    <row r="122" spans="1:2" x14ac:dyDescent="0.3">
      <c r="A122" s="11" t="s">
        <v>65</v>
      </c>
      <c r="B122" s="3">
        <v>0.25</v>
      </c>
    </row>
    <row r="123" spans="1:2" x14ac:dyDescent="0.3">
      <c r="A123" s="6">
        <v>2025</v>
      </c>
      <c r="B123" s="3">
        <v>0.38500000000000001</v>
      </c>
    </row>
    <row r="124" spans="1:2" x14ac:dyDescent="0.3">
      <c r="A124" s="7">
        <v>116</v>
      </c>
      <c r="B124" s="3"/>
    </row>
    <row r="125" spans="1:2" x14ac:dyDescent="0.3">
      <c r="A125" s="11" t="s">
        <v>90</v>
      </c>
      <c r="B125" s="3">
        <v>0.31</v>
      </c>
    </row>
    <row r="126" spans="1:2" x14ac:dyDescent="0.3">
      <c r="A126" s="7">
        <v>118</v>
      </c>
      <c r="B126" s="3"/>
    </row>
    <row r="127" spans="1:2" x14ac:dyDescent="0.3">
      <c r="A127" s="11" t="s">
        <v>90</v>
      </c>
      <c r="B127" s="3">
        <v>0.46</v>
      </c>
    </row>
    <row r="128" spans="1:2" x14ac:dyDescent="0.3">
      <c r="A128" s="6">
        <v>2030</v>
      </c>
      <c r="B128" s="3">
        <v>0.5</v>
      </c>
    </row>
    <row r="129" spans="1:2" x14ac:dyDescent="0.3">
      <c r="A129" s="7">
        <v>120</v>
      </c>
      <c r="B129" s="3"/>
    </row>
    <row r="130" spans="1:2" x14ac:dyDescent="0.3">
      <c r="A130" s="11" t="s">
        <v>65</v>
      </c>
      <c r="B130" s="3">
        <v>0.5</v>
      </c>
    </row>
    <row r="131" spans="1:2" x14ac:dyDescent="0.3">
      <c r="A131" s="6">
        <v>2040</v>
      </c>
      <c r="B131" s="3">
        <v>0.7</v>
      </c>
    </row>
    <row r="132" spans="1:2" x14ac:dyDescent="0.3">
      <c r="A132" s="7">
        <v>121</v>
      </c>
      <c r="B132" s="3"/>
    </row>
    <row r="133" spans="1:2" x14ac:dyDescent="0.3">
      <c r="A133" s="11" t="s">
        <v>65</v>
      </c>
      <c r="B133" s="3">
        <v>0.7</v>
      </c>
    </row>
    <row r="134" spans="1:2" x14ac:dyDescent="0.3">
      <c r="A134" s="6" t="s">
        <v>75</v>
      </c>
      <c r="B134" s="3">
        <v>0.18195555555555554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30:G183"/>
  <sheetViews>
    <sheetView workbookViewId="0">
      <selection activeCell="A30" sqref="A30"/>
    </sheetView>
  </sheetViews>
  <sheetFormatPr defaultRowHeight="14.4" x14ac:dyDescent="0.3"/>
  <cols>
    <col min="1" max="1" width="77.33203125" customWidth="1"/>
    <col min="2" max="2" width="24.6640625" bestFit="1" customWidth="1"/>
    <col min="5" max="7" width="13.33203125" customWidth="1"/>
  </cols>
  <sheetData>
    <row r="30" spans="1:2" x14ac:dyDescent="0.3">
      <c r="A30" s="5" t="s">
        <v>0</v>
      </c>
      <c r="B30" t="s">
        <v>85</v>
      </c>
    </row>
    <row r="32" spans="1:2" x14ac:dyDescent="0.3">
      <c r="A32" s="5" t="s">
        <v>66</v>
      </c>
      <c r="B32" t="s">
        <v>67</v>
      </c>
    </row>
    <row r="33" spans="1:7" x14ac:dyDescent="0.3">
      <c r="A33" s="6">
        <v>2002</v>
      </c>
      <c r="B33" s="3">
        <v>10.125</v>
      </c>
    </row>
    <row r="34" spans="1:7" x14ac:dyDescent="0.3">
      <c r="A34" s="7">
        <v>10</v>
      </c>
      <c r="B34" s="3"/>
    </row>
    <row r="35" spans="1:7" x14ac:dyDescent="0.3">
      <c r="A35" s="11" t="s">
        <v>3</v>
      </c>
      <c r="B35" s="3">
        <v>10.125</v>
      </c>
    </row>
    <row r="36" spans="1:7" x14ac:dyDescent="0.3">
      <c r="A36" s="7">
        <v>11</v>
      </c>
      <c r="B36" s="3"/>
    </row>
    <row r="37" spans="1:7" ht="15" thickBot="1" x14ac:dyDescent="0.35">
      <c r="A37" s="11" t="s">
        <v>3</v>
      </c>
      <c r="B37" s="3">
        <v>10.125</v>
      </c>
      <c r="D37" s="9" t="s">
        <v>104</v>
      </c>
    </row>
    <row r="38" spans="1:7" x14ac:dyDescent="0.3">
      <c r="A38" s="6">
        <v>2004</v>
      </c>
      <c r="B38" s="3">
        <v>7.060833333333334</v>
      </c>
      <c r="D38" s="37" t="s">
        <v>101</v>
      </c>
      <c r="E38" s="38" t="s">
        <v>102</v>
      </c>
      <c r="F38" s="38" t="s">
        <v>76</v>
      </c>
      <c r="G38" s="39" t="s">
        <v>103</v>
      </c>
    </row>
    <row r="39" spans="1:7" x14ac:dyDescent="0.3">
      <c r="A39" s="7">
        <v>12</v>
      </c>
      <c r="B39" s="3"/>
      <c r="D39" s="40">
        <v>2019</v>
      </c>
      <c r="E39" s="36">
        <v>15</v>
      </c>
      <c r="F39" s="36">
        <v>14</v>
      </c>
      <c r="G39" s="41">
        <v>13</v>
      </c>
    </row>
    <row r="40" spans="1:7" x14ac:dyDescent="0.3">
      <c r="A40" s="11" t="s">
        <v>41</v>
      </c>
      <c r="B40" s="3">
        <v>4.7520000000000007</v>
      </c>
      <c r="D40" s="40">
        <v>2020</v>
      </c>
      <c r="E40" s="36"/>
      <c r="F40" s="36">
        <v>13.5</v>
      </c>
      <c r="G40" s="41"/>
    </row>
    <row r="41" spans="1:7" x14ac:dyDescent="0.3">
      <c r="A41" s="7">
        <v>13</v>
      </c>
      <c r="B41" s="3"/>
      <c r="D41" s="40">
        <v>2021</v>
      </c>
      <c r="E41" s="36"/>
      <c r="F41" s="36"/>
      <c r="G41" s="41"/>
    </row>
    <row r="42" spans="1:7" x14ac:dyDescent="0.3">
      <c r="A42" s="11" t="s">
        <v>41</v>
      </c>
      <c r="B42" s="3">
        <v>5.7</v>
      </c>
      <c r="D42" s="40">
        <v>2022</v>
      </c>
      <c r="E42" s="36"/>
      <c r="F42" s="36"/>
      <c r="G42" s="41"/>
    </row>
    <row r="43" spans="1:7" x14ac:dyDescent="0.3">
      <c r="A43" s="7">
        <v>14</v>
      </c>
      <c r="B43" s="3"/>
      <c r="D43" s="40">
        <v>2023</v>
      </c>
      <c r="E43" s="36"/>
      <c r="F43" s="36"/>
      <c r="G43" s="41"/>
    </row>
    <row r="44" spans="1:7" x14ac:dyDescent="0.3">
      <c r="A44" s="11" t="s">
        <v>41</v>
      </c>
      <c r="B44" s="3">
        <v>5.75</v>
      </c>
      <c r="D44" s="40">
        <v>2024</v>
      </c>
      <c r="E44" s="36"/>
      <c r="F44" s="36"/>
      <c r="G44" s="41"/>
    </row>
    <row r="45" spans="1:7" x14ac:dyDescent="0.3">
      <c r="A45" s="7">
        <v>15</v>
      </c>
      <c r="B45" s="3"/>
      <c r="D45" s="40">
        <v>2025</v>
      </c>
      <c r="E45" s="36"/>
      <c r="F45" s="36"/>
      <c r="G45" s="41">
        <v>10</v>
      </c>
    </row>
    <row r="46" spans="1:7" x14ac:dyDescent="0.3">
      <c r="A46" s="11" t="s">
        <v>41</v>
      </c>
      <c r="B46" s="3">
        <v>6.6000000000000005</v>
      </c>
      <c r="D46" s="40">
        <v>2026</v>
      </c>
      <c r="E46" s="36"/>
      <c r="F46" s="36"/>
      <c r="G46" s="41"/>
    </row>
    <row r="47" spans="1:7" x14ac:dyDescent="0.3">
      <c r="A47" s="7">
        <v>16</v>
      </c>
      <c r="B47" s="3"/>
      <c r="D47" s="40">
        <v>2027</v>
      </c>
      <c r="E47" s="36"/>
      <c r="F47" s="36"/>
      <c r="G47" s="41"/>
    </row>
    <row r="48" spans="1:7" x14ac:dyDescent="0.3">
      <c r="A48" s="11" t="s">
        <v>41</v>
      </c>
      <c r="B48" s="3">
        <v>6.7320000000000002</v>
      </c>
      <c r="D48" s="40">
        <v>2028</v>
      </c>
      <c r="E48" s="36"/>
      <c r="F48" s="36">
        <v>12</v>
      </c>
      <c r="G48" s="41"/>
    </row>
    <row r="49" spans="1:7" x14ac:dyDescent="0.3">
      <c r="A49" s="7">
        <v>17</v>
      </c>
      <c r="B49" s="3"/>
      <c r="D49" s="40">
        <v>2029</v>
      </c>
      <c r="E49" s="36"/>
      <c r="F49" s="36"/>
      <c r="G49" s="41"/>
    </row>
    <row r="50" spans="1:7" x14ac:dyDescent="0.3">
      <c r="A50" s="11" t="s">
        <v>41</v>
      </c>
      <c r="B50" s="3">
        <v>7.1875</v>
      </c>
      <c r="D50" s="40">
        <v>2030</v>
      </c>
      <c r="E50" s="36"/>
      <c r="F50" s="36"/>
      <c r="G50" s="41"/>
    </row>
    <row r="51" spans="1:7" x14ac:dyDescent="0.3">
      <c r="A51" s="7">
        <v>18</v>
      </c>
      <c r="B51" s="3"/>
      <c r="D51" s="40">
        <v>2031</v>
      </c>
      <c r="E51" s="36"/>
      <c r="F51" s="36"/>
      <c r="G51" s="41"/>
    </row>
    <row r="52" spans="1:7" x14ac:dyDescent="0.3">
      <c r="A52" s="11" t="s">
        <v>41</v>
      </c>
      <c r="B52" s="3">
        <v>7.3920000000000003</v>
      </c>
      <c r="D52" s="40">
        <v>2032</v>
      </c>
      <c r="E52" s="36"/>
      <c r="F52" s="36"/>
      <c r="G52" s="41"/>
    </row>
    <row r="53" spans="1:7" x14ac:dyDescent="0.3">
      <c r="A53" s="7">
        <v>19</v>
      </c>
      <c r="B53" s="3"/>
      <c r="D53" s="40">
        <v>2033</v>
      </c>
      <c r="E53" s="36"/>
      <c r="F53" s="36"/>
      <c r="G53" s="41"/>
    </row>
    <row r="54" spans="1:7" x14ac:dyDescent="0.3">
      <c r="A54" s="11" t="s">
        <v>41</v>
      </c>
      <c r="B54" s="3">
        <v>7.9499999999999993</v>
      </c>
      <c r="D54" s="40">
        <v>2034</v>
      </c>
      <c r="E54" s="36"/>
      <c r="F54" s="36"/>
      <c r="G54" s="41"/>
    </row>
    <row r="55" spans="1:7" x14ac:dyDescent="0.3">
      <c r="A55" s="7">
        <v>20</v>
      </c>
      <c r="B55" s="3"/>
      <c r="D55" s="40">
        <v>2035</v>
      </c>
      <c r="E55" s="36"/>
      <c r="F55" s="36"/>
      <c r="G55" s="41"/>
    </row>
    <row r="56" spans="1:7" x14ac:dyDescent="0.3">
      <c r="A56" s="11" t="s">
        <v>41</v>
      </c>
      <c r="B56" s="3">
        <v>11.484</v>
      </c>
      <c r="D56" s="40">
        <v>2036</v>
      </c>
      <c r="E56" s="36"/>
      <c r="F56" s="36">
        <v>10</v>
      </c>
      <c r="G56" s="41"/>
    </row>
    <row r="57" spans="1:7" x14ac:dyDescent="0.3">
      <c r="A57" s="6">
        <v>2007</v>
      </c>
      <c r="B57" s="3">
        <v>11.41305</v>
      </c>
      <c r="D57" s="40">
        <v>2037</v>
      </c>
      <c r="E57" s="36"/>
      <c r="F57" s="36"/>
      <c r="G57" s="41"/>
    </row>
    <row r="58" spans="1:7" x14ac:dyDescent="0.3">
      <c r="A58" s="7">
        <v>21</v>
      </c>
      <c r="B58" s="3"/>
      <c r="D58" s="40">
        <v>2038</v>
      </c>
      <c r="E58" s="36"/>
      <c r="F58" s="36"/>
      <c r="G58" s="41"/>
    </row>
    <row r="59" spans="1:7" x14ac:dyDescent="0.3">
      <c r="A59" s="11" t="s">
        <v>41</v>
      </c>
      <c r="B59" s="3">
        <v>5.8260999999999994</v>
      </c>
      <c r="D59" s="40">
        <v>2039</v>
      </c>
      <c r="E59" s="36"/>
      <c r="F59" s="36"/>
      <c r="G59" s="41"/>
    </row>
    <row r="60" spans="1:7" x14ac:dyDescent="0.3">
      <c r="A60" s="7">
        <v>22</v>
      </c>
      <c r="B60" s="3"/>
      <c r="D60" s="40">
        <v>2040</v>
      </c>
      <c r="E60" s="36"/>
      <c r="F60" s="36">
        <v>9</v>
      </c>
      <c r="G60" s="41">
        <v>5</v>
      </c>
    </row>
    <row r="61" spans="1:7" x14ac:dyDescent="0.3">
      <c r="A61" s="11" t="s">
        <v>41</v>
      </c>
      <c r="B61" s="3">
        <v>17</v>
      </c>
      <c r="D61" s="40">
        <v>2041</v>
      </c>
      <c r="E61" s="36"/>
      <c r="F61" s="36"/>
      <c r="G61" s="41"/>
    </row>
    <row r="62" spans="1:7" x14ac:dyDescent="0.3">
      <c r="A62" s="6">
        <v>2008</v>
      </c>
      <c r="B62" s="3">
        <v>12</v>
      </c>
      <c r="D62" s="40">
        <v>2042</v>
      </c>
      <c r="E62" s="36"/>
      <c r="F62" s="36"/>
      <c r="G62" s="41"/>
    </row>
    <row r="63" spans="1:7" x14ac:dyDescent="0.3">
      <c r="A63" s="7">
        <v>23</v>
      </c>
      <c r="B63" s="3"/>
      <c r="D63" s="40">
        <v>2043</v>
      </c>
      <c r="E63" s="36"/>
      <c r="F63" s="36"/>
      <c r="G63" s="41"/>
    </row>
    <row r="64" spans="1:7" x14ac:dyDescent="0.3">
      <c r="A64" s="11" t="s">
        <v>41</v>
      </c>
      <c r="B64" s="3">
        <v>12</v>
      </c>
      <c r="D64" s="40">
        <v>2044</v>
      </c>
      <c r="E64" s="36"/>
      <c r="F64" s="36"/>
      <c r="G64" s="41"/>
    </row>
    <row r="65" spans="1:7" x14ac:dyDescent="0.3">
      <c r="A65" s="7">
        <v>24</v>
      </c>
      <c r="B65" s="3"/>
      <c r="D65" s="40">
        <v>2045</v>
      </c>
      <c r="E65" s="36"/>
      <c r="F65" s="36"/>
      <c r="G65" s="41"/>
    </row>
    <row r="66" spans="1:7" x14ac:dyDescent="0.3">
      <c r="A66" s="11" t="s">
        <v>61</v>
      </c>
      <c r="B66" s="3">
        <v>12</v>
      </c>
      <c r="D66" s="40">
        <v>2046</v>
      </c>
      <c r="E66" s="36"/>
      <c r="F66" s="36"/>
      <c r="G66" s="41"/>
    </row>
    <row r="67" spans="1:7" x14ac:dyDescent="0.3">
      <c r="A67" s="6">
        <v>2009</v>
      </c>
      <c r="B67" s="3">
        <v>6.85</v>
      </c>
      <c r="D67" s="40">
        <v>2047</v>
      </c>
      <c r="E67" s="36"/>
      <c r="F67" s="36"/>
      <c r="G67" s="41"/>
    </row>
    <row r="68" spans="1:7" x14ac:dyDescent="0.3">
      <c r="A68" s="7">
        <v>25</v>
      </c>
      <c r="B68" s="3"/>
      <c r="D68" s="40">
        <v>2048</v>
      </c>
      <c r="E68" s="36"/>
      <c r="F68" s="36"/>
      <c r="G68" s="41"/>
    </row>
    <row r="69" spans="1:7" x14ac:dyDescent="0.3">
      <c r="A69" s="11" t="s">
        <v>41</v>
      </c>
      <c r="B69" s="3">
        <v>6.85</v>
      </c>
      <c r="D69" s="40">
        <v>2049</v>
      </c>
      <c r="E69" s="36"/>
      <c r="F69" s="36"/>
      <c r="G69" s="41"/>
    </row>
    <row r="70" spans="1:7" ht="15" thickBot="1" x14ac:dyDescent="0.35">
      <c r="A70" s="6">
        <v>2010</v>
      </c>
      <c r="B70" s="3">
        <v>14.498000000000001</v>
      </c>
      <c r="D70" s="42">
        <v>2050</v>
      </c>
      <c r="E70" s="43">
        <v>12</v>
      </c>
      <c r="F70" s="43">
        <v>6</v>
      </c>
      <c r="G70" s="44">
        <v>4</v>
      </c>
    </row>
    <row r="71" spans="1:7" x14ac:dyDescent="0.3">
      <c r="A71" s="7">
        <v>26</v>
      </c>
      <c r="B71" s="3"/>
    </row>
    <row r="72" spans="1:7" x14ac:dyDescent="0.3">
      <c r="A72" s="11" t="s">
        <v>12</v>
      </c>
      <c r="B72" s="3">
        <v>6</v>
      </c>
    </row>
    <row r="73" spans="1:7" x14ac:dyDescent="0.3">
      <c r="A73" s="7">
        <v>27</v>
      </c>
      <c r="B73" s="3"/>
    </row>
    <row r="74" spans="1:7" x14ac:dyDescent="0.3">
      <c r="A74" s="11" t="s">
        <v>3</v>
      </c>
      <c r="B74" s="3">
        <v>7.0200000000000005</v>
      </c>
    </row>
    <row r="75" spans="1:7" x14ac:dyDescent="0.3">
      <c r="A75" s="7">
        <v>28</v>
      </c>
      <c r="B75" s="3"/>
    </row>
    <row r="76" spans="1:7" x14ac:dyDescent="0.3">
      <c r="A76" s="11" t="s">
        <v>41</v>
      </c>
      <c r="B76" s="3">
        <v>7.2</v>
      </c>
    </row>
    <row r="77" spans="1:7" x14ac:dyDescent="0.3">
      <c r="A77" s="7">
        <v>29</v>
      </c>
      <c r="B77" s="3"/>
    </row>
    <row r="78" spans="1:7" x14ac:dyDescent="0.3">
      <c r="A78" s="11" t="s">
        <v>41</v>
      </c>
      <c r="B78" s="3">
        <v>13.3</v>
      </c>
    </row>
    <row r="79" spans="1:7" x14ac:dyDescent="0.3">
      <c r="A79" s="7">
        <v>30</v>
      </c>
      <c r="B79" s="3"/>
    </row>
    <row r="80" spans="1:7" x14ac:dyDescent="0.3">
      <c r="A80" s="11" t="s">
        <v>74</v>
      </c>
      <c r="B80" s="3">
        <v>13.5</v>
      </c>
    </row>
    <row r="81" spans="1:2" x14ac:dyDescent="0.3">
      <c r="A81" s="7">
        <v>31</v>
      </c>
      <c r="B81" s="3"/>
    </row>
    <row r="82" spans="1:2" x14ac:dyDescent="0.3">
      <c r="A82" s="11" t="s">
        <v>74</v>
      </c>
      <c r="B82" s="3">
        <v>14</v>
      </c>
    </row>
    <row r="83" spans="1:2" x14ac:dyDescent="0.3">
      <c r="A83" s="7">
        <v>32</v>
      </c>
      <c r="B83" s="3"/>
    </row>
    <row r="84" spans="1:2" x14ac:dyDescent="0.3">
      <c r="A84" s="11" t="s">
        <v>74</v>
      </c>
      <c r="B84" s="3">
        <v>14</v>
      </c>
    </row>
    <row r="85" spans="1:2" x14ac:dyDescent="0.3">
      <c r="A85" s="7">
        <v>33</v>
      </c>
      <c r="B85" s="3"/>
    </row>
    <row r="86" spans="1:2" x14ac:dyDescent="0.3">
      <c r="A86" s="11" t="s">
        <v>74</v>
      </c>
      <c r="B86" s="3">
        <v>15.3</v>
      </c>
    </row>
    <row r="87" spans="1:2" x14ac:dyDescent="0.3">
      <c r="A87" s="7">
        <v>34</v>
      </c>
      <c r="B87" s="3"/>
    </row>
    <row r="88" spans="1:2" x14ac:dyDescent="0.3">
      <c r="A88" s="11" t="s">
        <v>40</v>
      </c>
      <c r="B88" s="3">
        <v>15.438000000000001</v>
      </c>
    </row>
    <row r="89" spans="1:2" x14ac:dyDescent="0.3">
      <c r="A89" s="7">
        <v>35</v>
      </c>
      <c r="B89" s="3"/>
    </row>
    <row r="90" spans="1:2" x14ac:dyDescent="0.3">
      <c r="A90" s="11" t="s">
        <v>3</v>
      </c>
      <c r="B90" s="3">
        <v>19.919999999999998</v>
      </c>
    </row>
    <row r="91" spans="1:2" x14ac:dyDescent="0.3">
      <c r="A91" s="7">
        <v>36</v>
      </c>
      <c r="B91" s="3"/>
    </row>
    <row r="92" spans="1:2" x14ac:dyDescent="0.3">
      <c r="A92" s="11" t="s">
        <v>41</v>
      </c>
      <c r="B92" s="3">
        <v>33.800000000000004</v>
      </c>
    </row>
    <row r="93" spans="1:2" x14ac:dyDescent="0.3">
      <c r="A93" s="6">
        <v>2011</v>
      </c>
      <c r="B93" s="3">
        <v>16.695666666666668</v>
      </c>
    </row>
    <row r="94" spans="1:2" x14ac:dyDescent="0.3">
      <c r="A94" s="7">
        <v>37</v>
      </c>
      <c r="B94" s="3"/>
    </row>
    <row r="95" spans="1:2" x14ac:dyDescent="0.3">
      <c r="A95" s="11" t="s">
        <v>41</v>
      </c>
      <c r="B95" s="3">
        <v>8.0939999999999994</v>
      </c>
    </row>
    <row r="96" spans="1:2" x14ac:dyDescent="0.3">
      <c r="A96" s="7">
        <v>38</v>
      </c>
      <c r="B96" s="3"/>
    </row>
    <row r="97" spans="1:2" x14ac:dyDescent="0.3">
      <c r="A97" s="11" t="s">
        <v>74</v>
      </c>
      <c r="B97" s="3">
        <v>16</v>
      </c>
    </row>
    <row r="98" spans="1:2" x14ac:dyDescent="0.3">
      <c r="A98" s="7">
        <v>39</v>
      </c>
      <c r="B98" s="3"/>
    </row>
    <row r="99" spans="1:2" x14ac:dyDescent="0.3">
      <c r="A99" s="11" t="s">
        <v>74</v>
      </c>
      <c r="B99" s="3">
        <v>16</v>
      </c>
    </row>
    <row r="100" spans="1:2" x14ac:dyDescent="0.3">
      <c r="A100" s="7">
        <v>40</v>
      </c>
      <c r="B100" s="3"/>
    </row>
    <row r="101" spans="1:2" x14ac:dyDescent="0.3">
      <c r="A101" s="11" t="s">
        <v>3</v>
      </c>
      <c r="B101" s="3">
        <v>16.079999999999998</v>
      </c>
    </row>
    <row r="102" spans="1:2" x14ac:dyDescent="0.3">
      <c r="A102" s="7">
        <v>41</v>
      </c>
      <c r="B102" s="3"/>
    </row>
    <row r="103" spans="1:2" x14ac:dyDescent="0.3">
      <c r="A103" s="11" t="s">
        <v>58</v>
      </c>
      <c r="B103" s="3">
        <v>22</v>
      </c>
    </row>
    <row r="104" spans="1:2" x14ac:dyDescent="0.3">
      <c r="A104" s="7">
        <v>42</v>
      </c>
      <c r="B104" s="3"/>
    </row>
    <row r="105" spans="1:2" x14ac:dyDescent="0.3">
      <c r="A105" s="11" t="s">
        <v>58</v>
      </c>
      <c r="B105" s="3">
        <v>22</v>
      </c>
    </row>
    <row r="106" spans="1:2" x14ac:dyDescent="0.3">
      <c r="A106" s="6">
        <v>2012</v>
      </c>
      <c r="B106" s="3">
        <v>12.9724</v>
      </c>
    </row>
    <row r="107" spans="1:2" x14ac:dyDescent="0.3">
      <c r="A107" s="7">
        <v>43</v>
      </c>
      <c r="B107" s="3"/>
    </row>
    <row r="108" spans="1:2" x14ac:dyDescent="0.3">
      <c r="A108" s="11" t="s">
        <v>41</v>
      </c>
      <c r="B108" s="3">
        <v>12.9724</v>
      </c>
    </row>
    <row r="109" spans="1:2" x14ac:dyDescent="0.3">
      <c r="A109" s="6">
        <v>2013</v>
      </c>
      <c r="B109" s="3">
        <v>19.030349999999999</v>
      </c>
    </row>
    <row r="110" spans="1:2" x14ac:dyDescent="0.3">
      <c r="A110" s="7">
        <v>44</v>
      </c>
      <c r="B110" s="3"/>
    </row>
    <row r="111" spans="1:2" x14ac:dyDescent="0.3">
      <c r="A111" s="11" t="s">
        <v>41</v>
      </c>
      <c r="B111" s="3">
        <v>16.701000000000001</v>
      </c>
    </row>
    <row r="112" spans="1:2" x14ac:dyDescent="0.3">
      <c r="A112" s="7">
        <v>45</v>
      </c>
      <c r="B112" s="3"/>
    </row>
    <row r="113" spans="1:2" x14ac:dyDescent="0.3">
      <c r="A113" s="11" t="s">
        <v>41</v>
      </c>
      <c r="B113" s="3">
        <v>21.3597</v>
      </c>
    </row>
    <row r="114" spans="1:2" x14ac:dyDescent="0.3">
      <c r="A114" s="6">
        <v>2014</v>
      </c>
      <c r="B114" s="3">
        <v>19.847999999999999</v>
      </c>
    </row>
    <row r="115" spans="1:2" x14ac:dyDescent="0.3">
      <c r="A115" s="7">
        <v>46</v>
      </c>
      <c r="B115" s="3"/>
    </row>
    <row r="116" spans="1:2" x14ac:dyDescent="0.3">
      <c r="A116" s="11" t="s">
        <v>74</v>
      </c>
      <c r="B116" s="3">
        <v>14</v>
      </c>
    </row>
    <row r="117" spans="1:2" x14ac:dyDescent="0.3">
      <c r="A117" s="7">
        <v>47</v>
      </c>
      <c r="B117" s="3"/>
    </row>
    <row r="118" spans="1:2" x14ac:dyDescent="0.3">
      <c r="A118" s="11" t="s">
        <v>37</v>
      </c>
      <c r="B118" s="3">
        <v>18</v>
      </c>
    </row>
    <row r="119" spans="1:2" x14ac:dyDescent="0.3">
      <c r="A119" s="7">
        <v>48</v>
      </c>
      <c r="B119" s="3"/>
    </row>
    <row r="120" spans="1:2" x14ac:dyDescent="0.3">
      <c r="A120" s="11" t="s">
        <v>41</v>
      </c>
      <c r="B120" s="3">
        <v>22.391999999999999</v>
      </c>
    </row>
    <row r="121" spans="1:2" x14ac:dyDescent="0.3">
      <c r="A121" s="7">
        <v>49</v>
      </c>
      <c r="B121" s="3"/>
    </row>
    <row r="122" spans="1:2" x14ac:dyDescent="0.3">
      <c r="A122" s="11" t="s">
        <v>37</v>
      </c>
      <c r="B122" s="3">
        <v>25</v>
      </c>
    </row>
    <row r="123" spans="1:2" x14ac:dyDescent="0.3">
      <c r="A123" s="6">
        <v>2015</v>
      </c>
      <c r="B123" s="3">
        <v>7.02</v>
      </c>
    </row>
    <row r="124" spans="1:2" x14ac:dyDescent="0.3">
      <c r="A124" s="7">
        <v>50</v>
      </c>
      <c r="B124" s="3"/>
    </row>
    <row r="125" spans="1:2" x14ac:dyDescent="0.3">
      <c r="A125" s="11" t="s">
        <v>41</v>
      </c>
      <c r="B125" s="3">
        <v>6.4799999999999995</v>
      </c>
    </row>
    <row r="126" spans="1:2" x14ac:dyDescent="0.3">
      <c r="A126" s="7">
        <v>51</v>
      </c>
      <c r="B126" s="3"/>
    </row>
    <row r="127" spans="1:2" x14ac:dyDescent="0.3">
      <c r="A127" s="11" t="s">
        <v>41</v>
      </c>
      <c r="B127" s="3">
        <v>7.5600000000000005</v>
      </c>
    </row>
    <row r="128" spans="1:2" x14ac:dyDescent="0.3">
      <c r="A128" s="6">
        <v>2016</v>
      </c>
      <c r="B128" s="3">
        <v>14.13332783018868</v>
      </c>
    </row>
    <row r="129" spans="1:2" x14ac:dyDescent="0.3">
      <c r="A129" s="7">
        <v>52</v>
      </c>
      <c r="B129" s="3"/>
    </row>
    <row r="130" spans="1:2" x14ac:dyDescent="0.3">
      <c r="A130" s="11" t="s">
        <v>13</v>
      </c>
      <c r="B130" s="3">
        <v>5.07</v>
      </c>
    </row>
    <row r="131" spans="1:2" x14ac:dyDescent="0.3">
      <c r="A131" s="7">
        <v>53</v>
      </c>
      <c r="B131" s="3"/>
    </row>
    <row r="132" spans="1:2" x14ac:dyDescent="0.3">
      <c r="A132" s="11" t="s">
        <v>13</v>
      </c>
      <c r="B132" s="3">
        <v>5.08</v>
      </c>
    </row>
    <row r="133" spans="1:2" x14ac:dyDescent="0.3">
      <c r="A133" s="7">
        <v>54</v>
      </c>
      <c r="B133" s="3"/>
    </row>
    <row r="134" spans="1:2" x14ac:dyDescent="0.3">
      <c r="A134" s="11" t="s">
        <v>13</v>
      </c>
      <c r="B134" s="3">
        <v>6.0419999999999998</v>
      </c>
    </row>
    <row r="135" spans="1:2" x14ac:dyDescent="0.3">
      <c r="A135" s="7">
        <v>55</v>
      </c>
      <c r="B135" s="3"/>
    </row>
    <row r="136" spans="1:2" x14ac:dyDescent="0.3">
      <c r="A136" s="11" t="s">
        <v>41</v>
      </c>
      <c r="B136" s="3">
        <v>11.9</v>
      </c>
    </row>
    <row r="137" spans="1:2" x14ac:dyDescent="0.3">
      <c r="A137" s="7">
        <v>56</v>
      </c>
      <c r="B137" s="3"/>
    </row>
    <row r="138" spans="1:2" x14ac:dyDescent="0.3">
      <c r="A138" s="11" t="s">
        <v>13</v>
      </c>
      <c r="B138" s="3">
        <v>18.920000000000002</v>
      </c>
    </row>
    <row r="139" spans="1:2" x14ac:dyDescent="0.3">
      <c r="A139" s="7">
        <v>57</v>
      </c>
      <c r="B139" s="3"/>
    </row>
    <row r="140" spans="1:2" x14ac:dyDescent="0.3">
      <c r="A140" s="11" t="s">
        <v>56</v>
      </c>
      <c r="B140" s="3">
        <v>19.339622641509436</v>
      </c>
    </row>
    <row r="141" spans="1:2" x14ac:dyDescent="0.3">
      <c r="A141" s="7">
        <v>58</v>
      </c>
      <c r="B141" s="3"/>
    </row>
    <row r="142" spans="1:2" x14ac:dyDescent="0.3">
      <c r="A142" s="11" t="s">
        <v>13</v>
      </c>
      <c r="B142" s="3">
        <v>21.56</v>
      </c>
    </row>
    <row r="143" spans="1:2" x14ac:dyDescent="0.3">
      <c r="A143" s="7">
        <v>59</v>
      </c>
      <c r="B143" s="3"/>
    </row>
    <row r="144" spans="1:2" x14ac:dyDescent="0.3">
      <c r="A144" s="11" t="s">
        <v>41</v>
      </c>
      <c r="B144" s="3">
        <v>25.155000000000001</v>
      </c>
    </row>
    <row r="145" spans="1:2" x14ac:dyDescent="0.3">
      <c r="A145" s="6">
        <v>2017</v>
      </c>
      <c r="B145" s="3">
        <v>23.525379134614059</v>
      </c>
    </row>
    <row r="146" spans="1:2" x14ac:dyDescent="0.3">
      <c r="A146" s="7">
        <v>60</v>
      </c>
      <c r="B146" s="3"/>
    </row>
    <row r="147" spans="1:2" x14ac:dyDescent="0.3">
      <c r="A147" s="11" t="s">
        <v>16</v>
      </c>
      <c r="B147" s="3">
        <v>18.099562500000001</v>
      </c>
    </row>
    <row r="148" spans="1:2" x14ac:dyDescent="0.3">
      <c r="A148" s="7">
        <v>61</v>
      </c>
      <c r="B148" s="3"/>
    </row>
    <row r="149" spans="1:2" x14ac:dyDescent="0.3">
      <c r="A149" s="11" t="s">
        <v>38</v>
      </c>
      <c r="B149" s="3">
        <v>18.103092783505154</v>
      </c>
    </row>
    <row r="150" spans="1:2" x14ac:dyDescent="0.3">
      <c r="A150" s="7">
        <v>62</v>
      </c>
      <c r="B150" s="3"/>
    </row>
    <row r="151" spans="1:2" x14ac:dyDescent="0.3">
      <c r="A151" s="11" t="s">
        <v>21</v>
      </c>
      <c r="B151" s="3">
        <v>20.677966101694917</v>
      </c>
    </row>
    <row r="152" spans="1:2" x14ac:dyDescent="0.3">
      <c r="A152" s="7">
        <v>63</v>
      </c>
      <c r="B152" s="3"/>
    </row>
    <row r="153" spans="1:2" x14ac:dyDescent="0.3">
      <c r="A153" s="11" t="s">
        <v>38</v>
      </c>
      <c r="B153" s="3">
        <v>28.631578947368421</v>
      </c>
    </row>
    <row r="154" spans="1:2" x14ac:dyDescent="0.3">
      <c r="A154" s="7">
        <v>64</v>
      </c>
      <c r="B154" s="3"/>
    </row>
    <row r="155" spans="1:2" x14ac:dyDescent="0.3">
      <c r="A155" s="11" t="s">
        <v>21</v>
      </c>
      <c r="B155" s="3">
        <v>32.11469534050179</v>
      </c>
    </row>
    <row r="156" spans="1:2" x14ac:dyDescent="0.3">
      <c r="A156" s="6">
        <v>2018</v>
      </c>
      <c r="B156" s="3">
        <v>27.154039999999998</v>
      </c>
    </row>
    <row r="157" spans="1:2" x14ac:dyDescent="0.3">
      <c r="A157" s="7">
        <v>65</v>
      </c>
      <c r="B157" s="3"/>
    </row>
    <row r="158" spans="1:2" x14ac:dyDescent="0.3">
      <c r="A158" s="11" t="s">
        <v>17</v>
      </c>
      <c r="B158" s="3">
        <v>21.422360000000001</v>
      </c>
    </row>
    <row r="159" spans="1:2" x14ac:dyDescent="0.3">
      <c r="A159" s="7">
        <v>66</v>
      </c>
      <c r="B159" s="3"/>
    </row>
    <row r="160" spans="1:2" x14ac:dyDescent="0.3">
      <c r="A160" s="11" t="s">
        <v>17</v>
      </c>
      <c r="B160" s="3">
        <v>23.610440000000001</v>
      </c>
    </row>
    <row r="161" spans="1:2" x14ac:dyDescent="0.3">
      <c r="A161" s="7">
        <v>67</v>
      </c>
      <c r="B161" s="3"/>
    </row>
    <row r="162" spans="1:2" x14ac:dyDescent="0.3">
      <c r="A162" s="11" t="s">
        <v>17</v>
      </c>
      <c r="B162" s="3">
        <v>36.429320000000004</v>
      </c>
    </row>
    <row r="163" spans="1:2" x14ac:dyDescent="0.3">
      <c r="A163" s="6">
        <v>2019</v>
      </c>
      <c r="B163" s="3">
        <v>26.357453380153018</v>
      </c>
    </row>
    <row r="164" spans="1:2" x14ac:dyDescent="0.3">
      <c r="A164" s="7">
        <v>68</v>
      </c>
      <c r="B164" s="3"/>
    </row>
    <row r="165" spans="1:2" x14ac:dyDescent="0.3">
      <c r="A165" s="11" t="s">
        <v>89</v>
      </c>
      <c r="B165" s="3">
        <v>14.75</v>
      </c>
    </row>
    <row r="166" spans="1:2" x14ac:dyDescent="0.3">
      <c r="A166" s="7">
        <v>69</v>
      </c>
      <c r="B166" s="3"/>
    </row>
    <row r="167" spans="1:2" x14ac:dyDescent="0.3">
      <c r="A167" s="11" t="s">
        <v>71</v>
      </c>
      <c r="B167" s="3">
        <v>20.389714285714287</v>
      </c>
    </row>
    <row r="168" spans="1:2" x14ac:dyDescent="0.3">
      <c r="A168" s="7">
        <v>70</v>
      </c>
      <c r="B168" s="3"/>
    </row>
    <row r="169" spans="1:2" x14ac:dyDescent="0.3">
      <c r="A169" s="11" t="s">
        <v>29</v>
      </c>
      <c r="B169" s="3">
        <v>23.117505995203835</v>
      </c>
    </row>
    <row r="170" spans="1:2" x14ac:dyDescent="0.3">
      <c r="A170" s="7">
        <v>71</v>
      </c>
      <c r="B170" s="3"/>
    </row>
    <row r="171" spans="1:2" x14ac:dyDescent="0.3">
      <c r="A171" s="11" t="s">
        <v>89</v>
      </c>
      <c r="B171" s="3">
        <v>26</v>
      </c>
    </row>
    <row r="172" spans="1:2" x14ac:dyDescent="0.3">
      <c r="A172" s="7">
        <v>72</v>
      </c>
      <c r="B172" s="3"/>
    </row>
    <row r="173" spans="1:2" x14ac:dyDescent="0.3">
      <c r="A173" s="11" t="s">
        <v>89</v>
      </c>
      <c r="B173" s="3">
        <v>32.200000000000003</v>
      </c>
    </row>
    <row r="174" spans="1:2" x14ac:dyDescent="0.3">
      <c r="A174" s="7">
        <v>73</v>
      </c>
      <c r="B174" s="3"/>
    </row>
    <row r="175" spans="1:2" x14ac:dyDescent="0.3">
      <c r="A175" s="11" t="s">
        <v>29</v>
      </c>
      <c r="B175" s="3">
        <v>41.687499999999993</v>
      </c>
    </row>
    <row r="176" spans="1:2" x14ac:dyDescent="0.3">
      <c r="A176" s="6">
        <v>2025</v>
      </c>
      <c r="B176" s="3">
        <v>16.876666666666665</v>
      </c>
    </row>
    <row r="177" spans="1:2" x14ac:dyDescent="0.3">
      <c r="A177" s="7">
        <v>74</v>
      </c>
      <c r="B177" s="3"/>
    </row>
    <row r="178" spans="1:2" x14ac:dyDescent="0.3">
      <c r="A178" s="11" t="s">
        <v>89</v>
      </c>
      <c r="B178" s="3">
        <v>16.559999999999999</v>
      </c>
    </row>
    <row r="179" spans="1:2" x14ac:dyDescent="0.3">
      <c r="A179" s="7">
        <v>75</v>
      </c>
      <c r="B179" s="3"/>
    </row>
    <row r="180" spans="1:2" x14ac:dyDescent="0.3">
      <c r="A180" s="11" t="s">
        <v>89</v>
      </c>
      <c r="B180" s="3">
        <v>17.02</v>
      </c>
    </row>
    <row r="181" spans="1:2" x14ac:dyDescent="0.3">
      <c r="A181" s="7">
        <v>76</v>
      </c>
      <c r="B181" s="3"/>
    </row>
    <row r="182" spans="1:2" x14ac:dyDescent="0.3">
      <c r="A182" s="11" t="s">
        <v>89</v>
      </c>
      <c r="B182" s="3">
        <v>17.05</v>
      </c>
    </row>
    <row r="183" spans="1:2" x14ac:dyDescent="0.3">
      <c r="A183" s="6" t="s">
        <v>75</v>
      </c>
      <c r="B183" s="3">
        <v>15.858523262619372</v>
      </c>
    </row>
  </sheetData>
  <pageMargins left="0.7" right="0.7" top="0.75" bottom="0.75" header="0.3" footer="0.3"/>
  <pageSetup paperSize="9"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30:B53"/>
  <sheetViews>
    <sheetView workbookViewId="0">
      <selection activeCell="G41" sqref="G41"/>
    </sheetView>
  </sheetViews>
  <sheetFormatPr defaultColWidth="11.5546875" defaultRowHeight="14.4" x14ac:dyDescent="0.3"/>
  <cols>
    <col min="1" max="1" width="61.88671875" customWidth="1"/>
    <col min="2" max="2" width="21" bestFit="1" customWidth="1"/>
    <col min="3" max="3" width="19.5546875" customWidth="1"/>
    <col min="4" max="4" width="6.5546875" customWidth="1"/>
    <col min="5" max="5" width="6.44140625" customWidth="1"/>
    <col min="6" max="11" width="6.5546875" customWidth="1"/>
    <col min="12" max="12" width="10.6640625" customWidth="1"/>
  </cols>
  <sheetData>
    <row r="30" spans="1:2" x14ac:dyDescent="0.3">
      <c r="A30" s="5" t="s">
        <v>0</v>
      </c>
      <c r="B30" t="s">
        <v>84</v>
      </c>
    </row>
    <row r="32" spans="1:2" x14ac:dyDescent="0.3">
      <c r="A32" s="5" t="s">
        <v>66</v>
      </c>
      <c r="B32" t="s">
        <v>67</v>
      </c>
    </row>
    <row r="33" spans="1:2" x14ac:dyDescent="0.3">
      <c r="A33" s="6">
        <v>2017</v>
      </c>
      <c r="B33" s="3">
        <v>0.92891540068910472</v>
      </c>
    </row>
    <row r="34" spans="1:2" x14ac:dyDescent="0.3">
      <c r="A34" s="7">
        <v>1</v>
      </c>
      <c r="B34" s="3">
        <v>0.91052631578947374</v>
      </c>
    </row>
    <row r="35" spans="1:2" x14ac:dyDescent="0.3">
      <c r="A35" s="11" t="s">
        <v>38</v>
      </c>
      <c r="B35" s="3">
        <v>0.91052631578947374</v>
      </c>
    </row>
    <row r="36" spans="1:2" x14ac:dyDescent="0.3">
      <c r="A36" s="7">
        <v>2</v>
      </c>
      <c r="B36" s="3">
        <v>0.91756272401433692</v>
      </c>
    </row>
    <row r="37" spans="1:2" x14ac:dyDescent="0.3">
      <c r="A37" s="11" t="s">
        <v>21</v>
      </c>
      <c r="B37" s="3">
        <v>0.91756272401433692</v>
      </c>
    </row>
    <row r="38" spans="1:2" x14ac:dyDescent="0.3">
      <c r="A38" s="7">
        <v>3</v>
      </c>
      <c r="B38" s="3">
        <v>0.91958762886597945</v>
      </c>
    </row>
    <row r="39" spans="1:2" x14ac:dyDescent="0.3">
      <c r="A39" s="11" t="s">
        <v>38</v>
      </c>
      <c r="B39" s="3">
        <v>0.91958762886597945</v>
      </c>
    </row>
    <row r="40" spans="1:2" x14ac:dyDescent="0.3">
      <c r="A40" s="7">
        <v>4</v>
      </c>
      <c r="B40" s="3">
        <v>0.967984934086629</v>
      </c>
    </row>
    <row r="41" spans="1:2" x14ac:dyDescent="0.3">
      <c r="A41" s="11" t="s">
        <v>21</v>
      </c>
      <c r="B41" s="3">
        <v>0.967984934086629</v>
      </c>
    </row>
    <row r="42" spans="1:2" x14ac:dyDescent="0.3">
      <c r="A42" s="6">
        <v>2019</v>
      </c>
      <c r="B42" s="3">
        <v>1.036206416581021</v>
      </c>
    </row>
    <row r="43" spans="1:2" x14ac:dyDescent="0.3">
      <c r="A43" s="7">
        <v>5</v>
      </c>
      <c r="B43" s="3">
        <v>0.94374999999999998</v>
      </c>
    </row>
    <row r="44" spans="1:2" x14ac:dyDescent="0.3">
      <c r="A44" s="11" t="s">
        <v>29</v>
      </c>
      <c r="B44" s="3">
        <v>0.94374999999999998</v>
      </c>
    </row>
    <row r="45" spans="1:2" x14ac:dyDescent="0.3">
      <c r="A45" s="7">
        <v>6</v>
      </c>
      <c r="B45" s="3">
        <v>0.9688249400479616</v>
      </c>
    </row>
    <row r="46" spans="1:2" x14ac:dyDescent="0.3">
      <c r="A46" s="11" t="s">
        <v>29</v>
      </c>
      <c r="B46" s="3">
        <v>0.9688249400479616</v>
      </c>
    </row>
    <row r="47" spans="1:2" x14ac:dyDescent="0.3">
      <c r="A47" s="7">
        <v>7</v>
      </c>
      <c r="B47" s="3">
        <v>1.0194857142857143</v>
      </c>
    </row>
    <row r="48" spans="1:2" x14ac:dyDescent="0.3">
      <c r="A48" s="11" t="s">
        <v>25</v>
      </c>
      <c r="B48" s="3">
        <v>1.0194857142857143</v>
      </c>
    </row>
    <row r="49" spans="1:2" x14ac:dyDescent="0.3">
      <c r="A49" s="7">
        <v>8</v>
      </c>
      <c r="B49" s="3">
        <v>1.0589714285714289</v>
      </c>
    </row>
    <row r="50" spans="1:2" x14ac:dyDescent="0.3">
      <c r="A50" s="11" t="s">
        <v>72</v>
      </c>
      <c r="B50" s="3">
        <v>1.0589714285714289</v>
      </c>
    </row>
    <row r="51" spans="1:2" x14ac:dyDescent="0.3">
      <c r="A51" s="7">
        <v>9</v>
      </c>
      <c r="B51" s="3">
        <v>1.19</v>
      </c>
    </row>
    <row r="52" spans="1:2" x14ac:dyDescent="0.3">
      <c r="A52" s="11" t="s">
        <v>69</v>
      </c>
      <c r="B52" s="3">
        <v>1.19</v>
      </c>
    </row>
    <row r="53" spans="1:2" x14ac:dyDescent="0.3">
      <c r="A53" s="6" t="s">
        <v>75</v>
      </c>
      <c r="B53" s="3">
        <v>0.98852152062905807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Inhalt</vt:lpstr>
      <vt:lpstr>1</vt:lpstr>
      <vt:lpstr>2</vt:lpstr>
      <vt:lpstr>3</vt:lpstr>
      <vt:lpstr>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2019-12-03T13:36:36Z</dcterms:modified>
</cp:coreProperties>
</file>