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P:\gruppen\ETA\WiMi-Team\100 Dokumentation\300 CO2-Bilanzierung_ETA\2024\"/>
    </mc:Choice>
  </mc:AlternateContent>
  <xr:revisionPtr revIDLastSave="0" documentId="13_ncr:1_{71CF32F9-481D-4225-B43D-A3DECB22D3A1}" xr6:coauthVersionLast="47" xr6:coauthVersionMax="47" xr10:uidLastSave="{00000000-0000-0000-0000-000000000000}"/>
  <bookViews>
    <workbookView xWindow="-16320" yWindow="0" windowWidth="16440" windowHeight="28320" xr2:uid="{0ED761C5-912F-4C3E-9475-8301E2D5B423}"/>
  </bookViews>
  <sheets>
    <sheet name="Zusammenfassung" sheetId="1" r:id="rId1"/>
    <sheet name="Scope 3" sheetId="7" r:id="rId2"/>
    <sheet name="CO2-Faktoren" sheetId="2" r:id="rId3"/>
    <sheet name="End of Life" sheetId="10" r:id="rId4"/>
    <sheet name="Schichtplan" sheetId="8" state="hidden" r:id="rId5"/>
    <sheet name="MA-Pendeln" sheetId="5" r:id="rId6"/>
    <sheet name="Node_ID_Liste" sheetId="9" state="hidden" r:id="rId7"/>
    <sheet name="Sonstige Infos" sheetId="6" state="hidden" r:id="rId8"/>
  </sheets>
  <externalReferences>
    <externalReference r:id="rId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c r="AB12" i="1"/>
  <c r="AB4" i="1"/>
  <c r="C20" i="1"/>
  <c r="C4" i="1"/>
  <c r="Q2" i="1"/>
  <c r="N4" i="1"/>
  <c r="L4" i="1"/>
  <c r="J4" i="1"/>
  <c r="N2" i="1"/>
  <c r="L2" i="1"/>
  <c r="J2" i="1"/>
  <c r="Q4" i="1" l="1"/>
  <c r="T4" i="1" s="1"/>
  <c r="F11" i="1"/>
  <c r="E11" i="1"/>
  <c r="L12" i="1" l="1"/>
  <c r="J12" i="1"/>
  <c r="H12" i="1"/>
  <c r="C12" i="1" l="1"/>
  <c r="F12" i="1"/>
  <c r="C9" i="1"/>
  <c r="C21" i="1"/>
  <c r="F29" i="1"/>
  <c r="C30" i="1" l="1"/>
  <c r="E21" i="1"/>
  <c r="I14" i="10"/>
  <c r="K14" i="10" s="1"/>
  <c r="F25" i="1" s="1"/>
  <c r="I17" i="10" l="1"/>
  <c r="K17" i="10" s="1"/>
  <c r="F30" i="1" s="1"/>
  <c r="C31" i="1" l="1"/>
  <c r="F31" i="1" s="1"/>
  <c r="C17" i="1"/>
  <c r="C14" i="1" l="1"/>
  <c r="E14" i="1"/>
  <c r="I16" i="1"/>
  <c r="F14" i="1" l="1"/>
  <c r="C10" i="1"/>
  <c r="C22" i="1" l="1"/>
  <c r="C23" i="1"/>
  <c r="C24" i="1"/>
  <c r="I15" i="10" s="1"/>
  <c r="K15" i="10" s="1"/>
  <c r="F26" i="1" s="1"/>
  <c r="C16" i="1"/>
  <c r="E9" i="1"/>
  <c r="I16" i="10" l="1"/>
  <c r="K16" i="10" s="1"/>
  <c r="F27" i="1" s="1"/>
  <c r="E20" i="1"/>
  <c r="F20" i="1" s="1"/>
  <c r="E23" i="1"/>
  <c r="E24" i="1"/>
  <c r="E22" i="1"/>
  <c r="C6" i="1"/>
  <c r="E6" i="1"/>
  <c r="E10" i="1"/>
  <c r="C8" i="1"/>
  <c r="C7" i="1"/>
  <c r="E8" i="1"/>
  <c r="E7" i="1"/>
  <c r="F9" i="1"/>
  <c r="F6" i="1" l="1"/>
  <c r="F8" i="1"/>
  <c r="F22" i="1"/>
  <c r="F24" i="1"/>
  <c r="F23" i="1"/>
  <c r="F41" i="1"/>
  <c r="F7" i="1"/>
  <c r="F21" i="1"/>
  <c r="F10" i="1"/>
  <c r="E16" i="1"/>
  <c r="F16" i="1" s="1"/>
  <c r="E13" i="1"/>
  <c r="F13" i="1" s="1"/>
  <c r="Q4" i="8"/>
  <c r="F42" i="1" l="1"/>
  <c r="O31" i="8"/>
  <c r="B33" i="8" l="1"/>
  <c r="D38" i="8"/>
  <c r="D39" i="8"/>
  <c r="C38" i="8"/>
  <c r="E38" i="8"/>
  <c r="B38" i="8"/>
  <c r="B39" i="8"/>
  <c r="C39" i="8"/>
  <c r="E39" i="8"/>
  <c r="D29" i="8"/>
  <c r="D30" i="8" s="1"/>
  <c r="E29" i="8"/>
  <c r="E30" i="8" s="1"/>
  <c r="C31" i="8"/>
  <c r="D31" i="8"/>
  <c r="E31" i="8"/>
  <c r="B31" i="8"/>
  <c r="F39" i="8"/>
  <c r="C27" i="8"/>
  <c r="B27" i="8"/>
  <c r="B29" i="8" s="1"/>
  <c r="C29" i="8" l="1"/>
  <c r="C30" i="8" s="1"/>
  <c r="C33" i="8" s="1"/>
  <c r="B30" i="8"/>
  <c r="E33" i="8"/>
  <c r="D33" i="8"/>
  <c r="E19" i="1" l="1"/>
  <c r="F19" i="1" s="1"/>
  <c r="F36" i="1" s="1"/>
  <c r="E5" i="1"/>
  <c r="F5" i="1" s="1"/>
  <c r="P3" i="8"/>
  <c r="B7" i="8"/>
  <c r="B15" i="8"/>
  <c r="B40" i="8" s="1"/>
  <c r="Q3" i="8" l="1"/>
  <c r="Q5" i="8" s="1"/>
  <c r="B20" i="8"/>
  <c r="B17" i="8"/>
  <c r="E40" i="8"/>
  <c r="C40" i="8"/>
  <c r="P4" i="8"/>
  <c r="P5" i="8" s="1"/>
  <c r="R3" i="8"/>
  <c r="F40" i="8"/>
  <c r="D40" i="8"/>
  <c r="E4" i="1"/>
  <c r="F4" i="1" s="1"/>
  <c r="R4" i="8" l="1"/>
  <c r="E17" i="1"/>
  <c r="F17" i="1" s="1"/>
  <c r="R5" i="8" l="1"/>
  <c r="C19" i="1" l="1"/>
  <c r="F40" i="1" s="1"/>
  <c r="F44" i="1" l="1"/>
  <c r="F28" i="1" l="1"/>
  <c r="F43" i="1" l="1"/>
  <c r="F37" i="1"/>
  <c r="B39" i="1" l="1"/>
  <c r="G39" i="1"/>
  <c r="B40" i="1"/>
  <c r="B41" i="1"/>
  <c r="G44" i="1"/>
  <c r="G42" i="1"/>
  <c r="G41" i="1"/>
  <c r="G40" i="1"/>
  <c r="G4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tc={5DBEBA16-AC1D-4DE0-8CFF-5D2F4990EE7F}</author>
    <author>tc={8896961B-A82C-41F0-8CD5-A634EE94DA1E}</author>
    <author>tc={F3CF9D0E-AF1D-43DF-82BE-9BF2AE5B8E19}</author>
    <author>tc={0C24278B-9322-4B9B-86BE-DD3707D449C3}</author>
    <author>tc={536A0986-AFD3-498F-8EE3-1DED1D635CFB}</author>
  </authors>
  <commentList>
    <comment ref="K2" authorId="0" shapeId="0" xr:uid="{5DBEBA16-AC1D-4DE0-8CFF-5D2F4990EE7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BHKW_VB-EM6-15.321.ThHy_E.WMZ321
Auflösung 10 s</t>
      </text>
    </comment>
    <comment ref="M2" authorId="1" shapeId="0" xr:uid="{8896961B-A82C-41F0-8CD5-A634EE94DA1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BHKW_VB-EM9-20.322.ThHy_E.WMZ322
Auflösung 10 s</t>
      </text>
    </comment>
    <comment ref="O2" authorId="2" shapeId="0" xr:uid="{F3CF9D0E-AF1D-43DF-82BE-9BF2AE5B8E1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BWK_VD-200W.331.ThHy_E.WMZ331
Auflösung 10 s
</t>
      </text>
    </comment>
    <comment ref="I11" authorId="3" shapeId="0" xr:uid="{0C24278B-9322-4B9B-86BE-DD3707D449C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Doesn‘t exist in ecoinvent</t>
      </text>
    </comment>
    <comment ref="C20" authorId="4" shapeId="0" xr:uid="{536A0986-AFD3-498F-8EE3-1DED1D635CF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750 km * (H9 / 1000) t
Antwort:
    Lieferstrecke ca. 750 km</t>
      </text>
    </comment>
  </commentList>
</comments>
</file>

<file path=xl/sharedStrings.xml><?xml version="1.0" encoding="utf-8"?>
<sst xmlns="http://schemas.openxmlformats.org/spreadsheetml/2006/main" count="584" uniqueCount="398">
  <si>
    <t>Scope 1</t>
  </si>
  <si>
    <t>Erdgas</t>
  </si>
  <si>
    <t>Scope 2</t>
  </si>
  <si>
    <t>KSS</t>
  </si>
  <si>
    <t>Reinigungsmittel</t>
  </si>
  <si>
    <t>Rohteile</t>
  </si>
  <si>
    <t>Verbrauch</t>
  </si>
  <si>
    <t>Einheit</t>
  </si>
  <si>
    <t>CO2-Faktor</t>
  </si>
  <si>
    <t>CO2-Faktoren ETA</t>
  </si>
  <si>
    <t>Werkzeuge</t>
  </si>
  <si>
    <t>Papier</t>
  </si>
  <si>
    <t>Scope 3.3</t>
  </si>
  <si>
    <t>Transport Rohlinge</t>
  </si>
  <si>
    <t>Späne</t>
  </si>
  <si>
    <t>Alt-KSS</t>
  </si>
  <si>
    <t>Alt-Öl</t>
  </si>
  <si>
    <t>Dienstreisen</t>
  </si>
  <si>
    <t>Mitarbeiter*innen-Pendeln</t>
  </si>
  <si>
    <t>Scope 3.4</t>
  </si>
  <si>
    <t>Scope 3.5</t>
  </si>
  <si>
    <t>Scope 3.6</t>
  </si>
  <si>
    <t>Scope 3.7</t>
  </si>
  <si>
    <t>kWh</t>
  </si>
  <si>
    <t>Scope 3.1 (Betriebsmittel)</t>
  </si>
  <si>
    <t>Strom ETA</t>
  </si>
  <si>
    <t>Strom Homeoffice</t>
  </si>
  <si>
    <t>Quelle Verbrauch</t>
  </si>
  <si>
    <t>Anmerkung</t>
  </si>
  <si>
    <t>Schätzung Jan H.</t>
  </si>
  <si>
    <t>Transportmittel</t>
  </si>
  <si>
    <t>Ressource</t>
  </si>
  <si>
    <t>Scope</t>
  </si>
  <si>
    <t>kg</t>
  </si>
  <si>
    <t>Strom</t>
  </si>
  <si>
    <t>Druckluft</t>
  </si>
  <si>
    <t>Stickstoff</t>
  </si>
  <si>
    <t>Ammoniak</t>
  </si>
  <si>
    <t>Standardannahme</t>
  </si>
  <si>
    <t>Alternative</t>
  </si>
  <si>
    <t>Quelle CO2-Faktor</t>
  </si>
  <si>
    <t>Name in der Datenbank</t>
  </si>
  <si>
    <t>kgCO2-e/kWh</t>
  </si>
  <si>
    <t>Umweltbundesamt</t>
  </si>
  <si>
    <t>-</t>
  </si>
  <si>
    <t>kgCO2-e/m^3</t>
  </si>
  <si>
    <t>ecoinvent 3.9.1</t>
  </si>
  <si>
    <t>compressed air production, 800 kPa gauge, &lt;30kW, average generation, RER, IPCC 2021, climate change, GWP 100</t>
  </si>
  <si>
    <t xml:space="preserve"> </t>
  </si>
  <si>
    <t>compressed air production, 700 kPa gauge, &gt;30kW, average generation, RER, IPCC 2021, climate change, GWP 100</t>
  </si>
  <si>
    <t>kgCO2-e/kg</t>
  </si>
  <si>
    <t>market for lubricating oil, RER, IPCC 2021, GWP 100</t>
  </si>
  <si>
    <t>Werkzeug</t>
  </si>
  <si>
    <t>steel production, chromium steel 18/8, hot rolled, RER, IPCC 2021, GWP 100</t>
  </si>
  <si>
    <t>market for aluminium scrap, post-consumer, prepared for melting, GLO, IPCC 2021, GWP 100</t>
  </si>
  <si>
    <t>kgCO-e/kg</t>
  </si>
  <si>
    <t>Probas</t>
  </si>
  <si>
    <t>Aluminium, sekundär</t>
  </si>
  <si>
    <t>treatment of waste mineral oil, hazardous waste incineration, Europe without Switzerland, IPCC 2021, GWP 100</t>
  </si>
  <si>
    <t>Alt-Werkzeug</t>
  </si>
  <si>
    <t>treatment of waste reinforcement steel, recycling, RoW, IPCC 2021, GWP 100</t>
  </si>
  <si>
    <t>cleaning consumables, without water, in 13.6% solution state, GLO, IPCC 2021, GWP 100</t>
  </si>
  <si>
    <t>market for natural gas, low pressure, DE, IPCC 2021, GWP 100</t>
  </si>
  <si>
    <t>air separation, cryogenic, RER, IPCC 2021, GWP 100</t>
  </si>
  <si>
    <t>Xtra-generischN2</t>
  </si>
  <si>
    <t>ammonia production, partial oxidation, liquid, RoW, IPCC 2021, GWP 100</t>
  </si>
  <si>
    <t>Chem-AnorgAmmoniak-DE-2020</t>
  </si>
  <si>
    <t>Rohmaterial (AlCuMgPb)</t>
  </si>
  <si>
    <t>market for aluminium alloy, AlMg3, GLO, IPCC 2021, GWP 100</t>
  </si>
  <si>
    <t>MetallAluminium-Import-mix-DE-2020</t>
  </si>
  <si>
    <t>aluminium ingot, primary, to aluminium, cast alloy market, GLO</t>
  </si>
  <si>
    <t>Glas</t>
  </si>
  <si>
    <t>flat glass production, coated, RER, IPCC 2021, GWP 100</t>
  </si>
  <si>
    <t>Ton</t>
  </si>
  <si>
    <t>clay brick production, RER, IPCC 2021, GWP 100</t>
  </si>
  <si>
    <t>Kunststoff</t>
  </si>
  <si>
    <t>market for polyethylene, high density, granulate, GLO, IPCC 2021, GWP 100</t>
  </si>
  <si>
    <t>market for polyethylene, high density, granulate, recycled, Europe without Switzerland</t>
  </si>
  <si>
    <t>packaging film production, low density polyethylene, RER</t>
  </si>
  <si>
    <t>Wasser</t>
  </si>
  <si>
    <t>water production, deionised, Europe without Switzerland</t>
  </si>
  <si>
    <t>SUMME</t>
  </si>
  <si>
    <t>Vorgelagerte Wertschöpfungskette</t>
  </si>
  <si>
    <t>Beschreibung</t>
  </si>
  <si>
    <t>Minimaler Grenzwert</t>
  </si>
  <si>
    <t>Gekaufte Waren und Dienstleistungen</t>
  </si>
  <si>
    <t>Gewinnung, Produktion und Transport von Waren und Dienstleistungen die das berichtende Unternehmen im Berichtsjahr gekauft oder erworben hat, die nicht anderweitig in den Kategorien 2 - 8 enthalten sind</t>
  </si>
  <si>
    <t>Investitionsgüter</t>
  </si>
  <si>
    <t>Gewinnung, Herstellung und Transport von Investitionsgütern, die von dem berichtenden Unternehmen im Berichtsjahr gekauft oder erworben wurden</t>
  </si>
  <si>
    <t>Brennstoff- und energiebezogene Aktivitäten (nicht in Scope 1 und 2 enthalten)</t>
  </si>
  <si>
    <t>Gewinnung, Produktion und Transport von Brennstoffen und Energie gekauft oder erworben durch das Unternehmen im Berichtsjahr, die nicht bereits in Scope 1 oder Scope 2 enthalten sind, einschließlich:
a) Vorgelagerte Emissionen von eingekauften Brennstoffen (Gewinnung, Herstellung und Transport von Brennstoffen, die vom berichtenden Unternehmen verbraucht werden.
b) Vorgelagerte Emissionen von eingekaufter Elektrizität (Gewinnung, Herstellung und Transport von Brennstoffen, die zur Erzeugung von Elektrizität, Dampf, Wärme und Kälte verbraucht werden, die das berichtende Unternehmen verbraucht).
c) Übertragungs- und Verteilungsverluste (Erzeugung von Strom, Dampf, Wärme und Kälte, die in einem Übertragungs- und Verteilungssystem verbraucht werden (d. h. verloren gehen)) - vom Endverbraucher gemeldet.
d) Erzeugung von eingekaufter Elektrizität, die an Endverbraucher verkauft wird (Erzeugung von Elektrizität, Dampf, Wärme und Kälte, die vom meldenden Unternehmen eingekauft und an Endverbraucher verkauft wird) - nur von Versorgungsunternehmen oder Energiehändlern gemeldet.</t>
  </si>
  <si>
    <t>Vorgelagerter Transport und Vertrieb</t>
  </si>
  <si>
    <t>Transport und Verteilung von Produkten, die das meldende Unternehmen im Berichtsjahr gekauft hat, zwischen den Tier-1-Lieferanten des Unternehmens und dem eigenen Betrieb (in Fahrzeugen und Einrichtungen, die nicht dem meldenden Unternehmen gehören oder von ihm kontrolliert werden).
Transport- und Vertriebsdienstleistungen, die das meldende Unternehmen im Berichtsjahr erworben hat, einschließlich der Eingangslogistik, der Ausgangslogistik (z. B. für verkaufte Produkte) sowie des Transports und Vertriebs zwischen unternehmenseigenen Einrichtungen (in Fahrzeugen und Einrichtungen, die nicht dem meldenden Unternehmen gehören oder von ihm kontrolliert werden).</t>
  </si>
  <si>
    <t>Im Betrieb anfallende Abfälle</t>
  </si>
  <si>
    <t>Entsorgung und Behandlung von Abfällen, die im Berichtsjahr in den Betrieben des berichtenden Unternehmens entstanden sind (in Anlagen, die sich nicht im Besitz oder unter der Kontrolle des berichtenden Unternehmens befinden).</t>
  </si>
  <si>
    <t>Geschäftsreisen</t>
  </si>
  <si>
    <t>Beförderung von Mitarbeitern für geschäftsbezogene Tätigkeiten während des Berichtsjahres (in Fahrzeugen, die nicht dem meldenden Unternehmen gehören oder von ihm betrieben werden).</t>
  </si>
  <si>
    <t>Die Scope-1- und Scope-2-Emissionen von Transportunternehmen, die während der Nutzung der Fahrzeuge entstehen (z. B. durch
Energienutzung).
Optional: Die mit der Herstellung von Fahrzeugen oder Infrastruktur verbundenen Lebenszyklusemissionen.</t>
  </si>
  <si>
    <t>Pendeln von Arbeitnehmern</t>
  </si>
  <si>
    <t>Beförderung von Arbeitnehmern zwischen ihrem Wohnort und ihrem Arbeitsplatz während des Berichtsjahres (in Fahrzeugen, die nicht dem meldenden Unternehmen gehören oder von ihm betrieben werden).</t>
  </si>
  <si>
    <t>Vorgelagerte geleaste Vermögenswerte</t>
  </si>
  <si>
    <t>Betrieb von Vermögenswerten, die von der berichtenden Gesellschaft (Leasingnehmer) im Berichtsjahr geleast wurden und nicht in Scope 1 und Scope 2 enthalten sind - vom Leasingnehmer gemeldet.</t>
  </si>
  <si>
    <t>Nachgelagerte Wertschöpfungskette</t>
  </si>
  <si>
    <t>Nachgelagerter Transport und Vertrieb</t>
  </si>
  <si>
    <t>Verarbeitung der verkauften Produkte</t>
  </si>
  <si>
    <t>Verwendung der verkauften Produkte</t>
  </si>
  <si>
    <t>End-of-Life-Behandlung von verkauften Produkten</t>
  </si>
  <si>
    <t>Nachgelagerte geleaste Vermögenswerte</t>
  </si>
  <si>
    <t>Franchises</t>
  </si>
  <si>
    <t>Investitionen</t>
  </si>
  <si>
    <t>Abrechnung TU (über David Sauerwein)</t>
  </si>
  <si>
    <t>Umrechnung mit Brennwert von 11,5 gemäß Dokumenten von hier https://www.e-netz-suedhessen.de/service/energielieferanten/gas/marktgebiet (Marktgebiet A)</t>
  </si>
  <si>
    <t>m^3</t>
  </si>
  <si>
    <t>Erdgas (Gewinnung und Transport)</t>
  </si>
  <si>
    <t>Erdgas (Verbrennung)</t>
  </si>
  <si>
    <t xml:space="preserve">natural gas, burned in gas turbine, DE, IPCC 2021, GWP 100 </t>
  </si>
  <si>
    <t>CO2-Emissionen in kg</t>
  </si>
  <si>
    <t>Bauteil/Zyklus</t>
  </si>
  <si>
    <t>Produktionsplan Maschinen</t>
  </si>
  <si>
    <t>parts/year</t>
  </si>
  <si>
    <t>Bauteile/Jahr</t>
  </si>
  <si>
    <t>Bottelneck EMAG Y =&gt; Annahme ETA Fabrik, Einschätzung bestätigt von Maschinenverantwortlichen</t>
  </si>
  <si>
    <t>parts/shift</t>
  </si>
  <si>
    <t>Bauteile/Schicht</t>
  </si>
  <si>
    <t>1 pro Maschine</t>
  </si>
  <si>
    <t>pers./shift</t>
  </si>
  <si>
    <t>Mitarbeiter/Schicht</t>
  </si>
  <si>
    <t>h/year</t>
  </si>
  <si>
    <t>Stunden/Jahr</t>
  </si>
  <si>
    <t>h/shift</t>
  </si>
  <si>
    <t>Stunden/schicht</t>
  </si>
  <si>
    <t>shifts/year</t>
  </si>
  <si>
    <t>Schichten pro Jahr</t>
  </si>
  <si>
    <t>Annahme aus ETA Fabrik</t>
  </si>
  <si>
    <t>shifts/week</t>
  </si>
  <si>
    <t>Schichten pro Woche (1-21)</t>
  </si>
  <si>
    <t>days/year</t>
  </si>
  <si>
    <t>Tage pro Jahr</t>
  </si>
  <si>
    <t>Quelle</t>
  </si>
  <si>
    <t>Kommentar</t>
  </si>
  <si>
    <t>Wert</t>
  </si>
  <si>
    <t>Name</t>
  </si>
  <si>
    <t>Produktionsbetrieb</t>
  </si>
  <si>
    <t>2/5 Tagen</t>
  </si>
  <si>
    <t>days/days</t>
  </si>
  <si>
    <t>Homeoffice</t>
  </si>
  <si>
    <t>https://www.tk.de/presse/themen/praevention/gesundheitsstudien/rekordjahr-2022-krankenstand-2143812?tkcm=aaus</t>
  </si>
  <si>
    <t>Deutschlandweiter durchschnitt</t>
  </si>
  <si>
    <t>days/(y*pers.)</t>
  </si>
  <si>
    <t>Fehltage</t>
  </si>
  <si>
    <t>ETA gesamt in Stunden</t>
  </si>
  <si>
    <t>TV TUD</t>
  </si>
  <si>
    <t>Urlaubstage</t>
  </si>
  <si>
    <t>ETA gesamt in Tagen</t>
  </si>
  <si>
    <t>https://www.schnelle-online.info/Arbeitstage/Anzahl-Arbeitstage-2024.html</t>
  </si>
  <si>
    <t>5 Tage Woche Hessen</t>
  </si>
  <si>
    <t>Arbeitstage</t>
  </si>
  <si>
    <t>Pro Person in Tagen</t>
  </si>
  <si>
    <t>Stand 13.07.23 (inkl. OI+Benni)</t>
  </si>
  <si>
    <t>pers.</t>
  </si>
  <si>
    <t>Anzahl Mitarbeiter</t>
  </si>
  <si>
    <t>Arbeitszeit netto HO</t>
  </si>
  <si>
    <t>Arbeitszeit netto vor Ort</t>
  </si>
  <si>
    <t>Arbeitszeit netto gesamt</t>
  </si>
  <si>
    <t>Forschungsbetrieb</t>
  </si>
  <si>
    <t>W</t>
  </si>
  <si>
    <t>1,5 kWh/Tag/Mitarbeiter berechnet mit Schichtplan</t>
  </si>
  <si>
    <t>JAVA</t>
  </si>
  <si>
    <t>KEA</t>
  </si>
  <si>
    <t>Ofen</t>
  </si>
  <si>
    <t>Chargengröße</t>
  </si>
  <si>
    <t>h</t>
  </si>
  <si>
    <t>Dauer/Charge</t>
  </si>
  <si>
    <t>Zeitanteil Working</t>
  </si>
  <si>
    <t>Zeitanteil Operational</t>
  </si>
  <si>
    <t>Leistung Working</t>
  </si>
  <si>
    <t>Leistung Operational</t>
  </si>
  <si>
    <t>Leistung Standby</t>
  </si>
  <si>
    <t>Zeitanteil Standby</t>
  </si>
  <si>
    <t>min/charge</t>
  </si>
  <si>
    <t>EMAG Y OP (10+20)</t>
  </si>
  <si>
    <t>EMAG GT OP (10+20)</t>
  </si>
  <si>
    <t>%</t>
  </si>
  <si>
    <t>kWh/y</t>
  </si>
  <si>
    <t>kW</t>
  </si>
  <si>
    <t>Chargen/Schicht</t>
  </si>
  <si>
    <t>Working/ Schicht</t>
  </si>
  <si>
    <t>Aufheizbetrieb</t>
  </si>
  <si>
    <t>kWh/shift</t>
  </si>
  <si>
    <t>Projekt ETA Fabrik</t>
  </si>
  <si>
    <t>Angenommenes Szenario Realbetrieb</t>
  </si>
  <si>
    <t>Erfahrungswerte</t>
  </si>
  <si>
    <t>Zeitanteil Aufheizen</t>
  </si>
  <si>
    <t>Leistung Aufheizen</t>
  </si>
  <si>
    <t>Summe Zeitanteil*Leistung</t>
  </si>
  <si>
    <t>Alle Maschinen im Standby wenn kein anderer Anteil</t>
  </si>
  <si>
    <t>Projekt ETA Fabrik/ KEA: Paper DFV&amp;Jma</t>
  </si>
  <si>
    <t>E_el/Schicht</t>
  </si>
  <si>
    <t>E_el/y</t>
  </si>
  <si>
    <t xml:space="preserve">Durchschnitt P_el </t>
  </si>
  <si>
    <t>11% Abkühlen</t>
  </si>
  <si>
    <t>Auto</t>
  </si>
  <si>
    <t>Fahrrad</t>
  </si>
  <si>
    <t>Bus</t>
  </si>
  <si>
    <t>Straßenbahn</t>
  </si>
  <si>
    <t>Zu Fuß</t>
  </si>
  <si>
    <t>E-Roller</t>
  </si>
  <si>
    <t>Zug ÖPNV</t>
  </si>
  <si>
    <t>Zug ICE</t>
  </si>
  <si>
    <t>Flugzeug (&gt;4000km)</t>
  </si>
  <si>
    <t>Flugzeug (1500 &gt; x &gt; 4000km)</t>
  </si>
  <si>
    <t>Flugzeug (800 &gt; x &gt; 1500 km)</t>
  </si>
  <si>
    <t>Flugzeug (&lt;800km)</t>
  </si>
  <si>
    <t>kgCO2e/km</t>
  </si>
  <si>
    <t>kgCO2e/person*km</t>
  </si>
  <si>
    <t>transport, passenger car, RER</t>
  </si>
  <si>
    <t>transport, passenger, bicycle, RoW</t>
  </si>
  <si>
    <t>transport, passenger coach, RoW</t>
  </si>
  <si>
    <t>transport, tram, RoW</t>
  </si>
  <si>
    <t>market for transport, passenger, electric scooter, GLO</t>
  </si>
  <si>
    <t>transport, passenger train, DE</t>
  </si>
  <si>
    <t>transport, passenger train, high-speed, DE</t>
  </si>
  <si>
    <t>transport, passenger aircraft, long haul, GLO</t>
  </si>
  <si>
    <t>transport, passenger aircraft, medium haul, GLO</t>
  </si>
  <si>
    <t>transport, passenger aircraft, short haul, GLO</t>
  </si>
  <si>
    <t>transport, passenger aircraft, very short haul, GLO</t>
  </si>
  <si>
    <t>Siehe separate Excel</t>
  </si>
  <si>
    <t>101.290 kWh</t>
  </si>
  <si>
    <t>Kaffee</t>
  </si>
  <si>
    <t>kgCO2e/kg</t>
  </si>
  <si>
    <t>coffee green bean production, arabica, india</t>
  </si>
  <si>
    <t>Ungenauigkeiten</t>
  </si>
  <si>
    <t>kein genuer CO2-Faktor für gerösteten Kaffee</t>
  </si>
  <si>
    <t>keine Unterscheidung bei den CO2-Faktoren fürs Fliegen zwischen Business und Economy</t>
  </si>
  <si>
    <t>Werte von Prof. Weigold nicht enthalten</t>
  </si>
  <si>
    <t>graphic paper production, 100% recycled, RoW</t>
  </si>
  <si>
    <t>Öl</t>
  </si>
  <si>
    <t>Verpackungsmaterielien der Betriebsmaterialien und Rohlinge</t>
  </si>
  <si>
    <t>Verschollene Steuerscheiben</t>
  </si>
  <si>
    <t>Rechnung Rohlinge (Andreas)</t>
  </si>
  <si>
    <t>Lager (Bestellte vs. Verabreitete Rohlinge, Betriebsmittel etc - Inventur wäre notwendig)</t>
  </si>
  <si>
    <t>Abfrage Benni (Oskay)</t>
  </si>
  <si>
    <t>380l für 26 Wochen an Y, 60 Liter für 26 Wochen an GT</t>
  </si>
  <si>
    <t>Äquivalent zu Input</t>
  </si>
  <si>
    <t>KSS/Öl</t>
  </si>
  <si>
    <t>recht ungenauer CO2-Wert für Öl bzw KSS</t>
  </si>
  <si>
    <t>Rohmaterial (Chromstahl)</t>
  </si>
  <si>
    <t>jeweils 12l EMAG Y und GT pro Jahr, plus Aufschlag für restliche ETA-Maschinen, Dichte 0,9kg/l</t>
  </si>
  <si>
    <t>Mail Ghada</t>
  </si>
  <si>
    <t>Transport Lastwagen</t>
  </si>
  <si>
    <t>kgCO2e/t*km</t>
  </si>
  <si>
    <t>km*t</t>
  </si>
  <si>
    <t>kein spezifischer Faktor für Reisebusse --&gt; Einfluss Quo Vadis unverhältnismäßig hoch</t>
  </si>
  <si>
    <t>Nur 2 Personen geflogen in 2022 - schon jetzt 11 Personen für 2023 eingetragen</t>
  </si>
  <si>
    <t>Übernachtungen bei Dienstreisen bisher noch nicht berücksichtigt (aber bereits abgefragt)</t>
  </si>
  <si>
    <t>siehe separate Datei Sharepoint</t>
  </si>
  <si>
    <t>Scope 3</t>
  </si>
  <si>
    <t>3.1.</t>
  </si>
  <si>
    <t>3.3.</t>
  </si>
  <si>
    <t>3.4.</t>
  </si>
  <si>
    <t>3.5.</t>
  </si>
  <si>
    <t>Betriebsmittel</t>
  </si>
  <si>
    <t>Energiebezogene Aktivitäten</t>
  </si>
  <si>
    <t>Vorgelagerter Transport</t>
  </si>
  <si>
    <t>Abfälle</t>
  </si>
  <si>
    <t>3.7.</t>
  </si>
  <si>
    <t>3.6.</t>
  </si>
  <si>
    <t>MA-Pendeln</t>
  </si>
  <si>
    <t>market for steel, chromium steel 18/8, GLO, IPCC 2021, GWP 100</t>
  </si>
  <si>
    <t>Name in der Datenbank (Ecoinvent 3.9.1)</t>
  </si>
  <si>
    <t>Abwasser</t>
  </si>
  <si>
    <t>treatment of wastewater, average, wastewater treatment, Europe without Switzerland, IPCC 2021, GWP 100</t>
  </si>
  <si>
    <t>Tee</t>
  </si>
  <si>
    <t>Druckerpatronen</t>
  </si>
  <si>
    <t>Stück</t>
  </si>
  <si>
    <t>2 Werkzeuge für 20 BT (Schätzung AWe), 150 Teile in 2023 produziert (Schätzung TK), 10g/Werkzeug (Schätzung AWe)</t>
  </si>
  <si>
    <t>market for tea, dried, GLO, IPCC 2021, GWP 100</t>
  </si>
  <si>
    <t>market for printing ink, offset, without solvent, in 47.5% solution state, RER, IPCC 2021, GWP 100</t>
  </si>
  <si>
    <t>Druckertinte</t>
  </si>
  <si>
    <t>solvent needs to be added extra!</t>
  </si>
  <si>
    <t xml:space="preserve">Tee </t>
  </si>
  <si>
    <t xml:space="preserve">ca. 6-7 Kartons. A 2000 Blatt. Bei 7x2000 = 14.000 Blatt im Jahr 2023. In 2022 noch 8 Kartons = 16.000 Blatt. In 2020 12 Kartons = 24.000 Blatt, Gewichterechner: https://mailingdruck24.de/papiergewicht/ </t>
  </si>
  <si>
    <t>Bohnen: 1,5 bis 2 Packungen a 1kg im Monat = ca. 18 bis 24kg jährlich = Ø = 21kg // Gemahlener Kaffee: Wir erhalten 1x im Monat einen Karton mit 20x250g Packungen. Hier ist der Verbrauch im Jahr etwas geringer als die Liefermenge. Geschätzter tatsächlicher Verbrauch sind 10 Kartons im Kalenderjahr = 200 Packungen = 50kg.</t>
  </si>
  <si>
    <t xml:space="preserve">6-7 Kartons mit Ø 180 Teebeutel. 1 Teebeutel = 1,5g bis 2,5g = Ø 1,8g. // 1 Karton = 360g. </t>
  </si>
  <si>
    <t xml:space="preserve">Faktor CO2 Hotels: </t>
  </si>
  <si>
    <t>siehe separate Excel</t>
  </si>
  <si>
    <t>https://www.gov.uk/government/publications/greenhouse-gas-reporting-conversion-factors-2022</t>
  </si>
  <si>
    <t>siehe Dienstreisen</t>
  </si>
  <si>
    <t>EneffCampus Uni (MF)</t>
  </si>
  <si>
    <t>Allokation der Transporte von 750 Rohlingen ging aus letzte Jahr &gt;&gt; dieses Jahr also theoretisch 0?</t>
  </si>
  <si>
    <t>Scope 3.9</t>
  </si>
  <si>
    <t>Scope 3.12</t>
  </si>
  <si>
    <t>1. Metallschrottcontainer (normal)</t>
  </si>
  <si>
    <t>Gefahren nach TSR Darmstadt, Otto-Röhm-Str. 57</t>
  </si>
  <si>
    <t>(geringe Vergütung daran</t>
  </si>
  <si>
    <t>2. MS (ölverschmutzte Metalle)</t>
  </si>
  <si>
    <t>RVM Rückstandsverwertungs-GmbH Mannheim</t>
  </si>
  <si>
    <t>               Waschen und Weiterverarbeitung</t>
  </si>
  <si>
    <t>                               Recycling</t>
  </si>
  <si>
    <t>3. Emulsion : Firma Müller aus Eppertshausen (4000 L pro Absaugen, jetzt am 14. Juni); wird zur Sonderabfall-Verbrennungsanlage + Aufbereitungsanfall in Biebesheim am Rhein gefahren</t>
  </si>
  <si>
    <t>Transport</t>
  </si>
  <si>
    <t>Metallschrott</t>
  </si>
  <si>
    <t>Ölverschmutzter Metallschrott</t>
  </si>
  <si>
    <t>Emulsionen</t>
  </si>
  <si>
    <t>Start</t>
  </si>
  <si>
    <t>Ziel</t>
  </si>
  <si>
    <t>ETA-Fabrik</t>
  </si>
  <si>
    <t>Distanz km</t>
  </si>
  <si>
    <t>TSR, Otto-Röhm-Str. 57</t>
  </si>
  <si>
    <t>RVM Rotterdamer Str. 9, 68219 Mannheim</t>
  </si>
  <si>
    <t>Sondermüllverbrennungsanlage Biebesheim</t>
  </si>
  <si>
    <t>Unit</t>
  </si>
  <si>
    <t>kgCO2e/(metric tonne *km)</t>
  </si>
  <si>
    <t>Factor</t>
  </si>
  <si>
    <t>transport, freight, lorry, all sizes, EURO3 to generic market for transport, freight, lorry, unspecified; IPCC 2021 GWP 100</t>
  </si>
  <si>
    <t>Mass in tonnes</t>
  </si>
  <si>
    <t>Waste</t>
  </si>
  <si>
    <t>Type</t>
  </si>
  <si>
    <t>treatment of metal scrap, mixed, for recycling, unsorted, sorting ; Europe w/o CH</t>
  </si>
  <si>
    <t>treatment of hazardous waste, hazardous waste incineration ; Europe w/o CH</t>
  </si>
  <si>
    <t>needs to be reworked 2024</t>
  </si>
  <si>
    <t>Downstream Transport (Control Discs)</t>
  </si>
  <si>
    <t>End-of-Life (Control Discs)</t>
  </si>
  <si>
    <t>treatment of metal scrap, mixed, for recycling, unsorted, sorting ; Europe w/o CH ; GWP 100</t>
  </si>
  <si>
    <t>Transport Lorry</t>
  </si>
  <si>
    <t>kgCO2e</t>
  </si>
  <si>
    <t>km</t>
  </si>
  <si>
    <t>Metallschrott (Späne)</t>
  </si>
  <si>
    <t>Metallschrott (Control Disc)</t>
  </si>
  <si>
    <t>Erdgas Transport+Verlust</t>
  </si>
  <si>
    <t>Heat Homeoffice</t>
  </si>
  <si>
    <t>Arbeitskleidung</t>
  </si>
  <si>
    <t>Transport Spähne (direkte Berechnung)</t>
  </si>
  <si>
    <t>Transport Emulsionen  (direkte Berechnung)</t>
  </si>
  <si>
    <t>Transport Werkzeug  (direkte Berechnung)</t>
  </si>
  <si>
    <t>gemessen über 6 Monate, bei 25 Versuchstagen ca. 15 kg RM, doppelte Menge als Aufschlag für JAVA und KEA</t>
  </si>
  <si>
    <t>https://www.gasag.de/magazin/energiesparen/gasverbrauch-1-personen-haushalt/</t>
  </si>
  <si>
    <t>444g Späne pro Bauteil (Messungen Benedikt Grosch),  150 Teile in 2023 produziert (Schätzung Tobias Koch)</t>
  </si>
  <si>
    <t>Berechnung im Blatt "End of Life"</t>
  </si>
  <si>
    <t>Stand Eintragungen 04.02.25</t>
  </si>
  <si>
    <t>Nachgelagerter Transport</t>
  </si>
  <si>
    <t>3.9.</t>
  </si>
  <si>
    <t>Entsorgung</t>
  </si>
  <si>
    <t>3.12.</t>
  </si>
  <si>
    <t>Bauteile in 2024</t>
  </si>
  <si>
    <t>Notes:</t>
  </si>
  <si>
    <t>weniger Bauteile als in 2023 gefertigt, da Fokus während Produktionstagen auf Maschinenoptimierung und Produktionsplanung lag</t>
  </si>
  <si>
    <t>ETA Carbon Footprint 2024 Forschungsbetrieb</t>
  </si>
  <si>
    <t>Bestellliste</t>
  </si>
  <si>
    <t>Polos a kg</t>
  </si>
  <si>
    <t>Jacken a kg</t>
  </si>
  <si>
    <t>Hosen a kg</t>
  </si>
  <si>
    <t>market for textile, woven cotton</t>
  </si>
  <si>
    <t>Textilien Baumwolle (Polos)</t>
  </si>
  <si>
    <t>Textilien Polyester (Jacke+Hose)</t>
  </si>
  <si>
    <t>market for textile, nonwoven polyester</t>
  </si>
  <si>
    <t>variabel</t>
  </si>
  <si>
    <t>Laptops</t>
  </si>
  <si>
    <t>Screens</t>
  </si>
  <si>
    <t>market for computer, laptop, GLO, IPCC 2021, GWP100</t>
  </si>
  <si>
    <t>kgCO2e/piece</t>
  </si>
  <si>
    <t>Laptop</t>
  </si>
  <si>
    <t>3 neue WiMis</t>
  </si>
  <si>
    <t>Kapazitätsliste ETA</t>
  </si>
  <si>
    <t>kWh EM6</t>
  </si>
  <si>
    <t>kWh EM9</t>
  </si>
  <si>
    <t>kWh VD200</t>
  </si>
  <si>
    <t>total thermal</t>
  </si>
  <si>
    <t>101290 kWh entspricht 364644 MJ , 1 m³ ≈ 10,55 kWh</t>
  </si>
  <si>
    <t>m3 gas</t>
  </si>
  <si>
    <t>MWh EM6</t>
  </si>
  <si>
    <t>MWh EM9</t>
  </si>
  <si>
    <t>MWh VD200</t>
  </si>
  <si>
    <t>schätze 0-1 Patrone wurde im Jahr 2023 ausgetauscht. Aber ich selbst hatte keine ausgetauscht, daher sehr ungenau. --&gt; zu kleiner Wert, daher vernachlässigt</t>
  </si>
  <si>
    <t>Month</t>
  </si>
  <si>
    <t>2023 Avg °C</t>
  </si>
  <si>
    <t>2024 Avg °C</t>
  </si>
  <si>
    <t>Change (2024 – 2023)</t>
  </si>
  <si>
    <t>Jan</t>
  </si>
  <si>
    <t>Feb</t>
  </si>
  <si>
    <t>Mar</t>
  </si>
  <si>
    <t>Apr</t>
  </si>
  <si>
    <t>May</t>
  </si>
  <si>
    <t>Jun</t>
  </si>
  <si>
    <t>Jul</t>
  </si>
  <si>
    <t>Aug</t>
  </si>
  <si>
    <t>Sep</t>
  </si>
  <si>
    <t>Oct</t>
  </si>
  <si>
    <t>Nov</t>
  </si>
  <si>
    <t>Dec</t>
  </si>
  <si>
    <t>Annual avg</t>
  </si>
  <si>
    <t>average monthly temperature in Darmstadt</t>
  </si>
  <si>
    <t>--&gt; hotter spring</t>
  </si>
  <si>
    <t>--&gt; slightly cooler summer</t>
  </si>
  <si>
    <t>--&gt; colder autumn and winter</t>
  </si>
  <si>
    <t>Scope1</t>
  </si>
  <si>
    <t>Scope2</t>
  </si>
  <si>
    <t>Scope3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</si>
</sst>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 _€_-;\-* #,##0.00\ _€_-;_-* &quot;-&quot;??\ _€_-;_-@_-"/>
    <numFmt numFmtId="165" formatCode="_-* #,##0_-;\-* #,##0_-;_-* &quot;-&quot;??_-;_-@_-"/>
    <numFmt numFmtId="166" formatCode="#,##0.0000"/>
    <numFmt numFmtId="167" formatCode="_-* #,##0.0000000_-;\-* #,##0.0000000_-;_-* &quot;-&quot;??_-;_-@_-"/>
    <numFmt numFmtId="168" formatCode="_-* #,##0.0000000\ _€_-;\-* #,##0.0000000\ _€_-;_-* &quot;-&quot;???????\ _€_-;_-@_-"/>
    <numFmt numFmtId="169" formatCode="_-* #,##0.0000000000_-;\-* #,##0.0000000000_-;_-* &quot;-&quot;??_-;_-@_-"/>
    <numFmt numFmtId="170" formatCode="0.0%"/>
  </numFmts>
  <fonts count="17" x14ac:knownFonts="1">
    <font>
      <sz val="11"/>
      <color theme="1"/>
      <name val="Calibri"/>
      <family val="2"/>
      <scheme val="minor"/>
    </font>
    <font>
      <b/>
      <u/>
      <sz val="14"/>
      <color theme="1"/>
      <name val="Calibri"/>
      <family val="2"/>
      <scheme val="minor"/>
    </font>
    <font>
      <b/>
      <sz val="16"/>
      <color theme="1"/>
      <name val="Calibri"/>
      <family val="2"/>
      <scheme val="minor"/>
    </font>
    <font>
      <u/>
      <sz val="11"/>
      <color theme="10"/>
      <name val="Calibri"/>
      <family val="2"/>
      <scheme val="minor"/>
    </font>
    <font>
      <b/>
      <sz val="11"/>
      <color theme="0"/>
      <name val="Calibri"/>
      <family val="2"/>
      <scheme val="minor"/>
    </font>
    <font>
      <sz val="11"/>
      <color theme="0"/>
      <name val="Calibri"/>
      <family val="2"/>
      <scheme val="minor"/>
    </font>
    <font>
      <sz val="11"/>
      <color theme="1"/>
      <name val="Calibri"/>
      <family val="2"/>
      <scheme val="minor"/>
    </font>
    <font>
      <b/>
      <sz val="11"/>
      <color theme="1"/>
      <name val="Calibri"/>
      <family val="2"/>
      <scheme val="minor"/>
    </font>
    <font>
      <b/>
      <sz val="11"/>
      <color rgb="FF0070C0"/>
      <name val="Calibri"/>
      <family val="2"/>
      <scheme val="minor"/>
    </font>
    <font>
      <sz val="16"/>
      <color theme="1"/>
      <name val="Calibri"/>
      <family val="2"/>
      <scheme val="minor"/>
    </font>
    <font>
      <sz val="11"/>
      <name val="Calibri"/>
      <family val="2"/>
      <scheme val="minor"/>
    </font>
    <font>
      <sz val="16"/>
      <name val="Calibri"/>
      <family val="2"/>
      <scheme val="minor"/>
    </font>
    <font>
      <b/>
      <sz val="11"/>
      <name val="Calibri"/>
      <family val="2"/>
      <scheme val="minor"/>
    </font>
    <font>
      <b/>
      <sz val="11"/>
      <color rgb="FFFF0000"/>
      <name val="Calibri"/>
      <family val="2"/>
      <scheme val="minor"/>
    </font>
    <font>
      <sz val="11"/>
      <color rgb="FFFF0000"/>
      <name val="Calibri"/>
      <family val="2"/>
      <scheme val="minor"/>
    </font>
    <font>
      <sz val="11"/>
      <color theme="1"/>
      <name val="Aptos"/>
      <family val="2"/>
    </font>
    <font>
      <sz val="11"/>
      <color rgb="FF231F1F"/>
      <name val="Segoe UI"/>
      <family val="2"/>
    </font>
  </fonts>
  <fills count="10">
    <fill>
      <patternFill patternType="none"/>
    </fill>
    <fill>
      <patternFill patternType="gray125"/>
    </fill>
    <fill>
      <patternFill patternType="solid">
        <fgColor theme="6" tint="0.79998168889431442"/>
        <bgColor indexed="64"/>
      </patternFill>
    </fill>
    <fill>
      <patternFill patternType="solid">
        <fgColor rgb="FF99C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s>
  <borders count="32">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4">
    <xf numFmtId="0" fontId="0" fillId="0" borderId="0"/>
    <xf numFmtId="0" fontId="3" fillId="0" borderId="0" applyNumberFormat="0" applyFill="0" applyBorder="0" applyAlignment="0" applyProtection="0"/>
    <xf numFmtId="43" fontId="6" fillId="0" borderId="0" applyFont="0" applyFill="0" applyBorder="0" applyAlignment="0" applyProtection="0"/>
    <xf numFmtId="9" fontId="6" fillId="0" borderId="0" applyFont="0" applyFill="0" applyBorder="0" applyAlignment="0" applyProtection="0"/>
  </cellStyleXfs>
  <cellXfs count="139">
    <xf numFmtId="0" fontId="0" fillId="0" borderId="0" xfId="0"/>
    <xf numFmtId="0" fontId="1" fillId="0" borderId="0" xfId="0" applyFont="1"/>
    <xf numFmtId="0" fontId="2" fillId="0" borderId="0" xfId="0" applyFont="1"/>
    <xf numFmtId="0" fontId="0" fillId="0" borderId="0" xfId="0" applyAlignment="1">
      <alignment horizontal="center"/>
    </xf>
    <xf numFmtId="0" fontId="1" fillId="0" borderId="0" xfId="0" applyFont="1" applyAlignment="1">
      <alignment horizontal="left" vertical="top"/>
    </xf>
    <xf numFmtId="0" fontId="0" fillId="0" borderId="1" xfId="0" applyBorder="1"/>
    <xf numFmtId="0" fontId="3" fillId="0" borderId="0" xfId="1"/>
    <xf numFmtId="0" fontId="0" fillId="0" borderId="0" xfId="0" applyAlignment="1">
      <alignment horizontal="left"/>
    </xf>
    <xf numFmtId="0" fontId="0" fillId="0" borderId="0" xfId="0" applyAlignment="1">
      <alignment vertical="center"/>
    </xf>
    <xf numFmtId="0" fontId="5" fillId="3" borderId="0" xfId="0" applyFont="1" applyFill="1"/>
    <xf numFmtId="0" fontId="4" fillId="3" borderId="1" xfId="0" applyFont="1" applyFill="1" applyBorder="1"/>
    <xf numFmtId="0" fontId="0" fillId="4" borderId="6" xfId="0" applyFill="1" applyBorder="1" applyAlignment="1">
      <alignment horizontal="center"/>
    </xf>
    <xf numFmtId="0" fontId="0" fillId="4" borderId="20" xfId="0" applyFill="1" applyBorder="1"/>
    <xf numFmtId="0" fontId="0" fillId="4" borderId="6" xfId="0" applyFill="1" applyBorder="1"/>
    <xf numFmtId="0" fontId="0" fillId="4" borderId="7" xfId="0" applyFill="1" applyBorder="1"/>
    <xf numFmtId="0" fontId="0" fillId="5" borderId="10" xfId="0" applyFill="1" applyBorder="1" applyAlignment="1">
      <alignment horizontal="center"/>
    </xf>
    <xf numFmtId="0" fontId="0" fillId="5" borderId="19" xfId="0" applyFill="1" applyBorder="1"/>
    <xf numFmtId="0" fontId="0" fillId="5" borderId="10" xfId="0" applyFill="1" applyBorder="1"/>
    <xf numFmtId="0" fontId="0" fillId="5" borderId="11" xfId="0" applyFill="1" applyBorder="1"/>
    <xf numFmtId="0" fontId="0" fillId="2" borderId="21" xfId="0" applyFill="1" applyBorder="1"/>
    <xf numFmtId="0" fontId="0" fillId="2" borderId="8" xfId="0" applyFill="1" applyBorder="1"/>
    <xf numFmtId="0" fontId="0" fillId="2" borderId="9" xfId="0" applyFill="1" applyBorder="1"/>
    <xf numFmtId="0" fontId="0" fillId="2" borderId="18" xfId="0" applyFill="1" applyBorder="1"/>
    <xf numFmtId="0" fontId="0" fillId="2" borderId="12" xfId="0" applyFill="1" applyBorder="1"/>
    <xf numFmtId="0" fontId="0" fillId="2" borderId="0" xfId="0" applyFill="1"/>
    <xf numFmtId="0" fontId="0" fillId="2" borderId="2" xfId="0" applyFill="1" applyBorder="1"/>
    <xf numFmtId="0" fontId="0" fillId="2" borderId="22" xfId="0" applyFill="1" applyBorder="1"/>
    <xf numFmtId="0" fontId="0" fillId="2" borderId="1" xfId="0" applyFill="1" applyBorder="1"/>
    <xf numFmtId="0" fontId="0" fillId="2" borderId="3" xfId="0" applyFill="1" applyBorder="1"/>
    <xf numFmtId="16" fontId="0" fillId="2" borderId="0" xfId="0" applyNumberFormat="1" applyFill="1" applyAlignment="1">
      <alignment horizontal="center"/>
    </xf>
    <xf numFmtId="16" fontId="0" fillId="2" borderId="1" xfId="0" applyNumberFormat="1" applyFill="1" applyBorder="1" applyAlignment="1">
      <alignment horizontal="center"/>
    </xf>
    <xf numFmtId="16" fontId="0" fillId="2" borderId="4" xfId="0" applyNumberFormat="1" applyFill="1" applyBorder="1" applyAlignment="1">
      <alignment horizontal="center"/>
    </xf>
    <xf numFmtId="0" fontId="0" fillId="2" borderId="23" xfId="0" applyFill="1" applyBorder="1"/>
    <xf numFmtId="0" fontId="0" fillId="2" borderId="4" xfId="0" applyFill="1" applyBorder="1"/>
    <xf numFmtId="0" fontId="0" fillId="2" borderId="5" xfId="0" applyFill="1" applyBorder="1"/>
    <xf numFmtId="0" fontId="0" fillId="2" borderId="0" xfId="0" applyFill="1" applyAlignment="1">
      <alignment horizontal="center"/>
    </xf>
    <xf numFmtId="0" fontId="4" fillId="3" borderId="14" xfId="0" applyFont="1" applyFill="1" applyBorder="1" applyAlignment="1">
      <alignment horizontal="center"/>
    </xf>
    <xf numFmtId="0" fontId="4" fillId="3" borderId="6" xfId="0" applyFont="1" applyFill="1" applyBorder="1"/>
    <xf numFmtId="0" fontId="4" fillId="3" borderId="24" xfId="0" applyFont="1" applyFill="1" applyBorder="1"/>
    <xf numFmtId="0" fontId="4" fillId="3" borderId="20" xfId="0" applyFont="1" applyFill="1" applyBorder="1"/>
    <xf numFmtId="0" fontId="4" fillId="3" borderId="14" xfId="0" applyFont="1" applyFill="1" applyBorder="1" applyAlignment="1">
      <alignment horizontal="right"/>
    </xf>
    <xf numFmtId="0" fontId="4" fillId="3" borderId="7" xfId="0" applyFont="1" applyFill="1" applyBorder="1"/>
    <xf numFmtId="0" fontId="4" fillId="3" borderId="25" xfId="0" applyFont="1" applyFill="1" applyBorder="1"/>
    <xf numFmtId="0" fontId="0" fillId="0" borderId="0" xfId="0" applyAlignment="1">
      <alignment horizontal="center" vertical="center"/>
    </xf>
    <xf numFmtId="0" fontId="4" fillId="3" borderId="0" xfId="0" applyFont="1" applyFill="1" applyAlignment="1">
      <alignment vertical="center" wrapText="1"/>
    </xf>
    <xf numFmtId="0" fontId="4" fillId="3"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wrapText="1"/>
    </xf>
    <xf numFmtId="43" fontId="0" fillId="5" borderId="11" xfId="2" applyFont="1" applyFill="1" applyBorder="1"/>
    <xf numFmtId="43" fontId="0" fillId="4" borderId="7" xfId="2" applyFont="1" applyFill="1" applyBorder="1"/>
    <xf numFmtId="43" fontId="0" fillId="2" borderId="2" xfId="2" applyFont="1" applyFill="1" applyBorder="1"/>
    <xf numFmtId="43" fontId="4" fillId="3" borderId="6" xfId="2" applyFont="1" applyFill="1" applyBorder="1"/>
    <xf numFmtId="0" fontId="8" fillId="0" borderId="0" xfId="0" applyFont="1" applyAlignment="1">
      <alignment horizontal="left"/>
    </xf>
    <xf numFmtId="0" fontId="0" fillId="6" borderId="0" xfId="0" applyFill="1"/>
    <xf numFmtId="0" fontId="10" fillId="0" borderId="0" xfId="0" applyFont="1" applyAlignment="1">
      <alignment horizontal="left"/>
    </xf>
    <xf numFmtId="0" fontId="7" fillId="0" borderId="0" xfId="0" applyFont="1"/>
    <xf numFmtId="0" fontId="0" fillId="7" borderId="0" xfId="0" applyFill="1"/>
    <xf numFmtId="0" fontId="9" fillId="7" borderId="0" xfId="0" applyFont="1" applyFill="1"/>
    <xf numFmtId="2" fontId="8" fillId="0" borderId="0" xfId="0" quotePrefix="1" applyNumberFormat="1" applyFont="1" applyAlignment="1">
      <alignment horizontal="left"/>
    </xf>
    <xf numFmtId="43" fontId="0" fillId="0" borderId="0" xfId="2" applyFont="1"/>
    <xf numFmtId="0" fontId="3" fillId="0" borderId="0" xfId="1" applyAlignment="1">
      <alignment horizontal="center"/>
    </xf>
    <xf numFmtId="0" fontId="7" fillId="0" borderId="0" xfId="0" applyFont="1" applyAlignment="1">
      <alignment wrapText="1"/>
    </xf>
    <xf numFmtId="0" fontId="10" fillId="8" borderId="0" xfId="0" applyFont="1" applyFill="1"/>
    <xf numFmtId="0" fontId="11" fillId="8" borderId="0" xfId="0" applyFont="1" applyFill="1"/>
    <xf numFmtId="43" fontId="0" fillId="4" borderId="14" xfId="2" applyFont="1" applyFill="1" applyBorder="1"/>
    <xf numFmtId="43" fontId="0" fillId="5" borderId="13" xfId="2" applyFont="1" applyFill="1" applyBorder="1"/>
    <xf numFmtId="43" fontId="0" fillId="2" borderId="12" xfId="2" applyFont="1" applyFill="1" applyBorder="1"/>
    <xf numFmtId="0" fontId="8" fillId="0" borderId="0" xfId="0" applyFont="1" applyAlignment="1">
      <alignment horizontal="center"/>
    </xf>
    <xf numFmtId="9" fontId="8" fillId="0" borderId="0" xfId="0" applyNumberFormat="1" applyFont="1" applyAlignment="1">
      <alignment horizontal="center"/>
    </xf>
    <xf numFmtId="43" fontId="12" fillId="0" borderId="0" xfId="2" applyFont="1" applyAlignment="1">
      <alignment horizontal="center" vertical="center"/>
    </xf>
    <xf numFmtId="165" fontId="12" fillId="0" borderId="0" xfId="2" applyNumberFormat="1" applyFont="1" applyAlignment="1">
      <alignment horizontal="center" vertical="center"/>
    </xf>
    <xf numFmtId="165" fontId="12" fillId="0" borderId="0" xfId="2" applyNumberFormat="1" applyFont="1" applyAlignment="1">
      <alignment horizontal="left" vertical="center"/>
    </xf>
    <xf numFmtId="9" fontId="10" fillId="0" borderId="0" xfId="0" applyNumberFormat="1" applyFont="1" applyAlignment="1">
      <alignment horizontal="center"/>
    </xf>
    <xf numFmtId="9" fontId="10" fillId="0" borderId="0" xfId="3" applyFont="1" applyAlignment="1">
      <alignment horizontal="center"/>
    </xf>
    <xf numFmtId="2" fontId="8" fillId="0" borderId="0" xfId="0" applyNumberFormat="1" applyFont="1" applyAlignment="1">
      <alignment horizontal="center"/>
    </xf>
    <xf numFmtId="2" fontId="10" fillId="0" borderId="0" xfId="0" applyNumberFormat="1" applyFont="1" applyAlignment="1">
      <alignment horizontal="center"/>
    </xf>
    <xf numFmtId="9" fontId="0" fillId="0" borderId="0" xfId="3" applyFont="1"/>
    <xf numFmtId="0" fontId="13" fillId="0" borderId="0" xfId="0" applyFont="1" applyAlignment="1">
      <alignment horizontal="center"/>
    </xf>
    <xf numFmtId="9" fontId="8" fillId="0" borderId="0" xfId="0" quotePrefix="1" applyNumberFormat="1" applyFont="1" applyAlignment="1">
      <alignment horizontal="center"/>
    </xf>
    <xf numFmtId="0" fontId="0" fillId="0" borderId="0" xfId="0" applyAlignment="1">
      <alignment horizontal="left" vertical="center"/>
    </xf>
    <xf numFmtId="0" fontId="0" fillId="0" borderId="0" xfId="0" applyAlignment="1">
      <alignment horizontal="right" vertical="center"/>
    </xf>
    <xf numFmtId="0" fontId="0" fillId="2" borderId="20" xfId="0" applyFill="1" applyBorder="1"/>
    <xf numFmtId="0" fontId="0" fillId="2" borderId="7" xfId="0" applyFill="1" applyBorder="1"/>
    <xf numFmtId="43" fontId="0" fillId="2" borderId="7" xfId="2" applyFont="1" applyFill="1" applyBorder="1"/>
    <xf numFmtId="0" fontId="10" fillId="2" borderId="0" xfId="0" applyFont="1" applyFill="1"/>
    <xf numFmtId="43" fontId="0" fillId="2" borderId="15" xfId="2" applyFont="1" applyFill="1" applyBorder="1" applyAlignment="1">
      <alignment horizontal="right"/>
    </xf>
    <xf numFmtId="43" fontId="0" fillId="2" borderId="9" xfId="2" applyFont="1" applyFill="1" applyBorder="1" applyAlignment="1">
      <alignment horizontal="right"/>
    </xf>
    <xf numFmtId="0" fontId="10" fillId="2" borderId="9" xfId="0" applyFont="1" applyFill="1" applyBorder="1"/>
    <xf numFmtId="16" fontId="0" fillId="0" borderId="0" xfId="0" applyNumberFormat="1" applyAlignment="1">
      <alignment horizontal="center"/>
    </xf>
    <xf numFmtId="43" fontId="0" fillId="2" borderId="12" xfId="2" applyFont="1" applyFill="1" applyBorder="1" applyAlignment="1">
      <alignment horizontal="right"/>
    </xf>
    <xf numFmtId="43" fontId="0" fillId="2" borderId="16" xfId="2" applyFont="1" applyFill="1" applyBorder="1"/>
    <xf numFmtId="43" fontId="0" fillId="2" borderId="17" xfId="2" applyFont="1" applyFill="1" applyBorder="1"/>
    <xf numFmtId="43" fontId="0" fillId="2" borderId="3" xfId="2" applyFont="1" applyFill="1" applyBorder="1"/>
    <xf numFmtId="43" fontId="0" fillId="2" borderId="5" xfId="2" applyFont="1" applyFill="1" applyBorder="1"/>
    <xf numFmtId="43" fontId="0" fillId="0" borderId="0" xfId="0" applyNumberFormat="1"/>
    <xf numFmtId="0" fontId="0" fillId="2" borderId="26" xfId="0" applyFill="1" applyBorder="1" applyAlignment="1">
      <alignment horizontal="center"/>
    </xf>
    <xf numFmtId="0" fontId="0" fillId="2" borderId="27" xfId="0" applyFill="1" applyBorder="1"/>
    <xf numFmtId="0" fontId="0" fillId="2" borderId="28" xfId="0" applyFill="1" applyBorder="1"/>
    <xf numFmtId="0" fontId="0" fillId="2" borderId="26" xfId="0" applyFill="1" applyBorder="1"/>
    <xf numFmtId="0" fontId="0" fillId="2" borderId="29" xfId="0" applyFill="1" applyBorder="1"/>
    <xf numFmtId="166" fontId="0" fillId="0" borderId="0" xfId="0" applyNumberFormat="1"/>
    <xf numFmtId="166" fontId="0" fillId="2" borderId="2" xfId="0" applyNumberFormat="1" applyFill="1" applyBorder="1"/>
    <xf numFmtId="0" fontId="14" fillId="2" borderId="2" xfId="0" applyFont="1" applyFill="1" applyBorder="1"/>
    <xf numFmtId="0" fontId="0" fillId="2" borderId="19" xfId="0" applyFill="1" applyBorder="1"/>
    <xf numFmtId="0" fontId="0" fillId="2" borderId="11" xfId="0" applyFill="1" applyBorder="1"/>
    <xf numFmtId="43" fontId="0" fillId="2" borderId="11" xfId="2" applyFont="1" applyFill="1" applyBorder="1"/>
    <xf numFmtId="0" fontId="10" fillId="0" borderId="0" xfId="0" applyFont="1" applyAlignment="1">
      <alignment horizontal="left" vertical="center"/>
    </xf>
    <xf numFmtId="0" fontId="10" fillId="0" borderId="0" xfId="0" applyFont="1" applyAlignment="1">
      <alignment horizontal="right" vertical="center"/>
    </xf>
    <xf numFmtId="0" fontId="10" fillId="0" borderId="0" xfId="0" applyFont="1"/>
    <xf numFmtId="0" fontId="0" fillId="2" borderId="2" xfId="0" applyFill="1" applyBorder="1" applyAlignment="1">
      <alignment wrapText="1"/>
    </xf>
    <xf numFmtId="0" fontId="15" fillId="0" borderId="0" xfId="0" applyFont="1"/>
    <xf numFmtId="0" fontId="0" fillId="0" borderId="0" xfId="0" applyAlignment="1">
      <alignment horizontal="left" vertical="center" indent="1"/>
    </xf>
    <xf numFmtId="0" fontId="0" fillId="0" borderId="0" xfId="0" applyAlignment="1">
      <alignment horizontal="left" vertical="center" indent="4"/>
    </xf>
    <xf numFmtId="43" fontId="0" fillId="2" borderId="0" xfId="2" applyFont="1" applyFill="1" applyBorder="1"/>
    <xf numFmtId="0" fontId="0" fillId="2" borderId="30" xfId="0" applyFill="1" applyBorder="1"/>
    <xf numFmtId="167" fontId="0" fillId="0" borderId="0" xfId="0" applyNumberFormat="1"/>
    <xf numFmtId="168" fontId="0" fillId="0" borderId="0" xfId="0" applyNumberFormat="1"/>
    <xf numFmtId="0" fontId="16" fillId="0" borderId="0" xfId="0" applyFont="1"/>
    <xf numFmtId="164" fontId="0" fillId="0" borderId="0" xfId="0" applyNumberFormat="1"/>
    <xf numFmtId="169" fontId="0" fillId="2" borderId="2" xfId="2" applyNumberFormat="1" applyFont="1" applyFill="1" applyBorder="1" applyAlignment="1">
      <alignment horizontal="left" indent="9"/>
    </xf>
    <xf numFmtId="0" fontId="0" fillId="9" borderId="2" xfId="0" applyFill="1" applyBorder="1"/>
    <xf numFmtId="0" fontId="10" fillId="9" borderId="2" xfId="0" applyFont="1" applyFill="1" applyBorder="1"/>
    <xf numFmtId="0" fontId="0" fillId="9" borderId="0" xfId="0" applyFill="1"/>
    <xf numFmtId="0" fontId="10" fillId="2" borderId="2" xfId="0" applyFont="1" applyFill="1" applyBorder="1"/>
    <xf numFmtId="3" fontId="0" fillId="0" borderId="0" xfId="0" applyNumberFormat="1"/>
    <xf numFmtId="0" fontId="7" fillId="0" borderId="0" xfId="0" applyFont="1" applyAlignment="1">
      <alignment horizontal="center" vertical="center" wrapText="1"/>
    </xf>
    <xf numFmtId="0" fontId="7" fillId="0" borderId="0" xfId="0" applyFont="1" applyAlignment="1">
      <alignment vertical="center" wrapText="1"/>
    </xf>
    <xf numFmtId="0" fontId="0" fillId="0" borderId="0" xfId="0" quotePrefix="1"/>
    <xf numFmtId="10" fontId="0" fillId="0" borderId="0" xfId="0" applyNumberFormat="1"/>
    <xf numFmtId="170" fontId="0" fillId="0" borderId="0" xfId="0" applyNumberFormat="1"/>
    <xf numFmtId="0" fontId="0" fillId="2" borderId="8" xfId="0" applyFill="1" applyBorder="1" applyAlignment="1">
      <alignment horizontal="center" vertical="top" wrapText="1"/>
    </xf>
    <xf numFmtId="0" fontId="0" fillId="2" borderId="0" xfId="0" applyFill="1" applyAlignment="1">
      <alignment horizontal="center" vertical="top" wrapText="1"/>
    </xf>
    <xf numFmtId="0" fontId="0" fillId="2" borderId="1" xfId="0" applyFill="1" applyBorder="1" applyAlignment="1">
      <alignment horizontal="center" vertical="top" wrapText="1"/>
    </xf>
    <xf numFmtId="0" fontId="0" fillId="2" borderId="31" xfId="0" applyFill="1" applyBorder="1" applyAlignment="1">
      <alignment horizontal="center" vertical="top"/>
    </xf>
    <xf numFmtId="0" fontId="0" fillId="2" borderId="0" xfId="0" applyFill="1" applyAlignment="1">
      <alignment horizontal="center" vertical="top"/>
    </xf>
    <xf numFmtId="0" fontId="0" fillId="2" borderId="1" xfId="0" applyFill="1" applyBorder="1" applyAlignment="1">
      <alignment horizontal="center" vertical="top"/>
    </xf>
    <xf numFmtId="0" fontId="0" fillId="0" borderId="0" xfId="0" applyAlignment="1">
      <alignment horizontal="center"/>
    </xf>
    <xf numFmtId="0" fontId="4" fillId="3" borderId="0" xfId="0" applyFont="1" applyFill="1" applyAlignment="1">
      <alignment horizontal="left"/>
    </xf>
    <xf numFmtId="0" fontId="4" fillId="3" borderId="0" xfId="0" applyFont="1" applyFill="1" applyAlignment="1">
      <alignment horizontal="center"/>
    </xf>
  </cellXfs>
  <cellStyles count="4">
    <cellStyle name="Komma" xfId="2" builtinId="3"/>
    <cellStyle name="Link" xfId="1" builtinId="8"/>
    <cellStyle name="Prozent" xfId="3" builtinId="5"/>
    <cellStyle name="Standard" xfId="0" builtinId="0"/>
  </cellStyles>
  <dxfs count="0"/>
  <tableStyles count="0" defaultTableStyle="TableStyleMedium2" defaultPivotStyle="PivotStyleLight16"/>
  <colors>
    <mruColors>
      <color rgb="FF99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Emissionen der ETA-Forschungsgruppe nach Scopes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shade val="65000"/>
                </a:schemeClr>
              </a:solidFill>
              <a:ln w="19050">
                <a:solidFill>
                  <a:schemeClr val="lt1"/>
                </a:solidFill>
              </a:ln>
              <a:effectLst/>
            </c:spPr>
            <c:extLst>
              <c:ext xmlns:c16="http://schemas.microsoft.com/office/drawing/2014/chart" uri="{C3380CC4-5D6E-409C-BE32-E72D297353CC}">
                <c16:uniqueId val="{00000001-C32B-42E4-997E-88FFC106F41C}"/>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C32B-42E4-997E-88FFC106F41C}"/>
              </c:ext>
            </c:extLst>
          </c:dPt>
          <c:dPt>
            <c:idx val="2"/>
            <c:bubble3D val="0"/>
            <c:spPr>
              <a:solidFill>
                <a:schemeClr val="accent6">
                  <a:tint val="65000"/>
                </a:schemeClr>
              </a:solidFill>
              <a:ln w="19050">
                <a:solidFill>
                  <a:schemeClr val="lt1"/>
                </a:solidFill>
              </a:ln>
              <a:effectLst/>
            </c:spPr>
            <c:extLst>
              <c:ext xmlns:c16="http://schemas.microsoft.com/office/drawing/2014/chart" uri="{C3380CC4-5D6E-409C-BE32-E72D297353CC}">
                <c16:uniqueId val="{00000005-C32B-42E4-997E-88FFC106F41C}"/>
              </c:ext>
            </c:extLst>
          </c:dPt>
          <c:cat>
            <c:strRef>
              <c:f>(Zusammenfassung!$A$4,Zusammenfassung!$A$5,Zusammenfassung!$A$36)</c:f>
              <c:strCache>
                <c:ptCount val="3"/>
                <c:pt idx="0">
                  <c:v>Scope 1</c:v>
                </c:pt>
                <c:pt idx="1">
                  <c:v>Scope 2</c:v>
                </c:pt>
                <c:pt idx="2">
                  <c:v>Scope 3</c:v>
                </c:pt>
              </c:strCache>
            </c:strRef>
          </c:cat>
          <c:val>
            <c:numRef>
              <c:f>(Zusammenfassung!$F$4,Zusammenfassung!$F$5,Zusammenfassung!$F$36)</c:f>
              <c:numCache>
                <c:formatCode>_(* #,##0.00_);_(* \(#,##0.00\);_(* "-"??_);_(@_)</c:formatCode>
                <c:ptCount val="3"/>
                <c:pt idx="0">
                  <c:v>15087.364138767771</c:v>
                </c:pt>
                <c:pt idx="1">
                  <c:v>27061.4580819</c:v>
                </c:pt>
                <c:pt idx="2">
                  <c:v>66200.471064257523</c:v>
                </c:pt>
              </c:numCache>
            </c:numRef>
          </c:val>
          <c:extLst>
            <c:ext xmlns:c16="http://schemas.microsoft.com/office/drawing/2014/chart" uri="{C3380CC4-5D6E-409C-BE32-E72D297353CC}">
              <c16:uniqueId val="{00000000-04D0-410C-8A45-78632E99D88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Aufteilung</a:t>
            </a:r>
            <a:r>
              <a:rPr lang="de-DE" baseline="0"/>
              <a:t> der Scope 3 Emissionen</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tint val="50000"/>
                </a:schemeClr>
              </a:solidFill>
              <a:ln w="19050">
                <a:solidFill>
                  <a:schemeClr val="lt1"/>
                </a:solidFill>
              </a:ln>
              <a:effectLst/>
            </c:spPr>
            <c:extLst>
              <c:ext xmlns:c16="http://schemas.microsoft.com/office/drawing/2014/chart" uri="{C3380CC4-5D6E-409C-BE32-E72D297353CC}">
                <c16:uniqueId val="{00000001-191F-474E-8810-F1306CE97500}"/>
              </c:ext>
            </c:extLst>
          </c:dPt>
          <c:dPt>
            <c:idx val="1"/>
            <c:bubble3D val="0"/>
            <c:spPr>
              <a:solidFill>
                <a:schemeClr val="accent6">
                  <a:tint val="70000"/>
                </a:schemeClr>
              </a:solidFill>
              <a:ln w="19050">
                <a:solidFill>
                  <a:schemeClr val="lt1"/>
                </a:solidFill>
              </a:ln>
              <a:effectLst/>
            </c:spPr>
            <c:extLst>
              <c:ext xmlns:c16="http://schemas.microsoft.com/office/drawing/2014/chart" uri="{C3380CC4-5D6E-409C-BE32-E72D297353CC}">
                <c16:uniqueId val="{00000003-191F-474E-8810-F1306CE97500}"/>
              </c:ext>
            </c:extLst>
          </c:dPt>
          <c:dPt>
            <c:idx val="2"/>
            <c:bubble3D val="0"/>
            <c:spPr>
              <a:solidFill>
                <a:schemeClr val="accent6">
                  <a:tint val="90000"/>
                </a:schemeClr>
              </a:solidFill>
              <a:ln w="19050">
                <a:solidFill>
                  <a:schemeClr val="lt1"/>
                </a:solidFill>
              </a:ln>
              <a:effectLst/>
            </c:spPr>
            <c:extLst>
              <c:ext xmlns:c16="http://schemas.microsoft.com/office/drawing/2014/chart" uri="{C3380CC4-5D6E-409C-BE32-E72D297353CC}">
                <c16:uniqueId val="{00000005-191F-474E-8810-F1306CE97500}"/>
              </c:ext>
            </c:extLst>
          </c:dPt>
          <c:dPt>
            <c:idx val="3"/>
            <c:bubble3D val="0"/>
            <c:spPr>
              <a:solidFill>
                <a:schemeClr val="accent6">
                  <a:shade val="90000"/>
                </a:schemeClr>
              </a:solidFill>
              <a:ln w="19050">
                <a:solidFill>
                  <a:schemeClr val="lt1"/>
                </a:solidFill>
              </a:ln>
              <a:effectLst/>
            </c:spPr>
            <c:extLst>
              <c:ext xmlns:c16="http://schemas.microsoft.com/office/drawing/2014/chart" uri="{C3380CC4-5D6E-409C-BE32-E72D297353CC}">
                <c16:uniqueId val="{00000007-191F-474E-8810-F1306CE97500}"/>
              </c:ext>
            </c:extLst>
          </c:dPt>
          <c:dPt>
            <c:idx val="4"/>
            <c:bubble3D val="0"/>
            <c:spPr>
              <a:solidFill>
                <a:schemeClr val="accent6">
                  <a:shade val="70000"/>
                </a:schemeClr>
              </a:solidFill>
              <a:ln w="19050">
                <a:solidFill>
                  <a:schemeClr val="lt1"/>
                </a:solidFill>
              </a:ln>
              <a:effectLst/>
            </c:spPr>
            <c:extLst>
              <c:ext xmlns:c16="http://schemas.microsoft.com/office/drawing/2014/chart" uri="{C3380CC4-5D6E-409C-BE32-E72D297353CC}">
                <c16:uniqueId val="{00000009-191F-474E-8810-F1306CE97500}"/>
              </c:ext>
            </c:extLst>
          </c:dPt>
          <c:dPt>
            <c:idx val="5"/>
            <c:bubble3D val="0"/>
            <c:spPr>
              <a:solidFill>
                <a:schemeClr val="accent6">
                  <a:shade val="50000"/>
                </a:schemeClr>
              </a:solidFill>
              <a:ln w="19050">
                <a:solidFill>
                  <a:schemeClr val="lt1"/>
                </a:solidFill>
              </a:ln>
              <a:effectLst/>
            </c:spPr>
            <c:extLst>
              <c:ext xmlns:c16="http://schemas.microsoft.com/office/drawing/2014/chart" uri="{C3380CC4-5D6E-409C-BE32-E72D297353CC}">
                <c16:uniqueId val="{0000000B-191F-474E-8810-F1306CE97500}"/>
              </c:ext>
            </c:extLst>
          </c:dPt>
          <c:cat>
            <c:strRef>
              <c:f>Zusammenfassung!$D$39:$D$44</c:f>
              <c:strCache>
                <c:ptCount val="6"/>
                <c:pt idx="0">
                  <c:v>Betriebsmittel</c:v>
                </c:pt>
                <c:pt idx="1">
                  <c:v>Energiebezogene Aktivitäten</c:v>
                </c:pt>
                <c:pt idx="2">
                  <c:v>Vorgelagerter Transport</c:v>
                </c:pt>
                <c:pt idx="3">
                  <c:v>Abfälle</c:v>
                </c:pt>
                <c:pt idx="4">
                  <c:v>Dienstreisen</c:v>
                </c:pt>
                <c:pt idx="5">
                  <c:v>MA-Pendeln</c:v>
                </c:pt>
              </c:strCache>
            </c:strRef>
          </c:cat>
          <c:val>
            <c:numRef>
              <c:f>Zusammenfassung!$F$39:$F$44</c:f>
              <c:numCache>
                <c:formatCode>_(* #,##0.00_);_(* \(#,##0.00\);_(* "-"??_);_(@_)</c:formatCode>
                <c:ptCount val="6"/>
                <c:pt idx="0">
                  <c:v>3169.6201114807654</c:v>
                </c:pt>
                <c:pt idx="1">
                  <c:v>4256.5607343601896</c:v>
                </c:pt>
                <c:pt idx="2">
                  <c:v>1.3502497499999999</c:v>
                </c:pt>
                <c:pt idx="3">
                  <c:v>2332.8338379000006</c:v>
                </c:pt>
                <c:pt idx="4">
                  <c:v>54814.127808200014</c:v>
                </c:pt>
                <c:pt idx="5">
                  <c:v>1620.1879082999999</c:v>
                </c:pt>
              </c:numCache>
            </c:numRef>
          </c:val>
          <c:extLst>
            <c:ext xmlns:c16="http://schemas.microsoft.com/office/drawing/2014/chart" uri="{C3380CC4-5D6E-409C-BE32-E72D297353CC}">
              <c16:uniqueId val="{00000000-B304-45DF-AFE0-37B6F76CAD1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Emissionen der ETA-Forschungsgruppe nach Scopes 2023,</a:t>
            </a:r>
            <a:r>
              <a:rPr lang="de-DE" baseline="0"/>
              <a:t> Scope 3 Emissionen aufgeteilt</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tint val="46000"/>
                </a:schemeClr>
              </a:solidFill>
              <a:ln w="19050">
                <a:solidFill>
                  <a:schemeClr val="lt1"/>
                </a:solidFill>
              </a:ln>
              <a:effectLst/>
            </c:spPr>
            <c:extLst>
              <c:ext xmlns:c16="http://schemas.microsoft.com/office/drawing/2014/chart" uri="{C3380CC4-5D6E-409C-BE32-E72D297353CC}">
                <c16:uniqueId val="{00000001-3F29-4E53-A550-66FA9309A5B4}"/>
              </c:ext>
            </c:extLst>
          </c:dPt>
          <c:dPt>
            <c:idx val="1"/>
            <c:bubble3D val="0"/>
            <c:spPr>
              <a:solidFill>
                <a:schemeClr val="accent6">
                  <a:tint val="62000"/>
                </a:schemeClr>
              </a:solidFill>
              <a:ln w="19050">
                <a:solidFill>
                  <a:schemeClr val="lt1"/>
                </a:solidFill>
              </a:ln>
              <a:effectLst/>
            </c:spPr>
            <c:extLst>
              <c:ext xmlns:c16="http://schemas.microsoft.com/office/drawing/2014/chart" uri="{C3380CC4-5D6E-409C-BE32-E72D297353CC}">
                <c16:uniqueId val="{00000003-3F29-4E53-A550-66FA9309A5B4}"/>
              </c:ext>
            </c:extLst>
          </c:dPt>
          <c:dPt>
            <c:idx val="2"/>
            <c:bubble3D val="0"/>
            <c:spPr>
              <a:solidFill>
                <a:schemeClr val="accent6">
                  <a:tint val="77000"/>
                </a:schemeClr>
              </a:solidFill>
              <a:ln w="19050">
                <a:solidFill>
                  <a:schemeClr val="lt1"/>
                </a:solidFill>
              </a:ln>
              <a:effectLst/>
            </c:spPr>
            <c:extLst>
              <c:ext xmlns:c16="http://schemas.microsoft.com/office/drawing/2014/chart" uri="{C3380CC4-5D6E-409C-BE32-E72D297353CC}">
                <c16:uniqueId val="{00000005-3F29-4E53-A550-66FA9309A5B4}"/>
              </c:ext>
            </c:extLst>
          </c:dPt>
          <c:dPt>
            <c:idx val="3"/>
            <c:bubble3D val="0"/>
            <c:spPr>
              <a:solidFill>
                <a:schemeClr val="accent6">
                  <a:tint val="93000"/>
                </a:schemeClr>
              </a:solidFill>
              <a:ln w="19050">
                <a:solidFill>
                  <a:schemeClr val="lt1"/>
                </a:solidFill>
              </a:ln>
              <a:effectLst/>
            </c:spPr>
            <c:extLst>
              <c:ext xmlns:c16="http://schemas.microsoft.com/office/drawing/2014/chart" uri="{C3380CC4-5D6E-409C-BE32-E72D297353CC}">
                <c16:uniqueId val="{00000007-3F29-4E53-A550-66FA9309A5B4}"/>
              </c:ext>
            </c:extLst>
          </c:dPt>
          <c:dPt>
            <c:idx val="4"/>
            <c:bubble3D val="0"/>
            <c:spPr>
              <a:solidFill>
                <a:schemeClr val="accent6">
                  <a:shade val="92000"/>
                </a:schemeClr>
              </a:solidFill>
              <a:ln w="19050">
                <a:solidFill>
                  <a:schemeClr val="lt1"/>
                </a:solidFill>
              </a:ln>
              <a:effectLst/>
            </c:spPr>
            <c:extLst>
              <c:ext xmlns:c16="http://schemas.microsoft.com/office/drawing/2014/chart" uri="{C3380CC4-5D6E-409C-BE32-E72D297353CC}">
                <c16:uniqueId val="{00000009-3F29-4E53-A550-66FA9309A5B4}"/>
              </c:ext>
            </c:extLst>
          </c:dPt>
          <c:dPt>
            <c:idx val="5"/>
            <c:bubble3D val="0"/>
            <c:spPr>
              <a:solidFill>
                <a:schemeClr val="accent6">
                  <a:shade val="76000"/>
                </a:schemeClr>
              </a:solidFill>
              <a:ln w="19050">
                <a:solidFill>
                  <a:schemeClr val="lt1"/>
                </a:solidFill>
              </a:ln>
              <a:effectLst/>
            </c:spPr>
            <c:extLst>
              <c:ext xmlns:c16="http://schemas.microsoft.com/office/drawing/2014/chart" uri="{C3380CC4-5D6E-409C-BE32-E72D297353CC}">
                <c16:uniqueId val="{0000000B-3F29-4E53-A550-66FA9309A5B4}"/>
              </c:ext>
            </c:extLst>
          </c:dPt>
          <c:dPt>
            <c:idx val="6"/>
            <c:bubble3D val="0"/>
            <c:spPr>
              <a:solidFill>
                <a:schemeClr val="accent6">
                  <a:shade val="61000"/>
                </a:schemeClr>
              </a:solidFill>
              <a:ln w="19050">
                <a:solidFill>
                  <a:schemeClr val="lt1"/>
                </a:solidFill>
              </a:ln>
              <a:effectLst/>
            </c:spPr>
            <c:extLst>
              <c:ext xmlns:c16="http://schemas.microsoft.com/office/drawing/2014/chart" uri="{C3380CC4-5D6E-409C-BE32-E72D297353CC}">
                <c16:uniqueId val="{0000000D-3F29-4E53-A550-66FA9309A5B4}"/>
              </c:ext>
            </c:extLst>
          </c:dPt>
          <c:dPt>
            <c:idx val="7"/>
            <c:bubble3D val="0"/>
            <c:spPr>
              <a:solidFill>
                <a:schemeClr val="accent6">
                  <a:shade val="45000"/>
                </a:schemeClr>
              </a:solidFill>
              <a:ln w="19050">
                <a:solidFill>
                  <a:schemeClr val="lt1"/>
                </a:solidFill>
              </a:ln>
              <a:effectLst/>
            </c:spPr>
            <c:extLst>
              <c:ext xmlns:c16="http://schemas.microsoft.com/office/drawing/2014/chart" uri="{C3380CC4-5D6E-409C-BE32-E72D297353CC}">
                <c16:uniqueId val="{0000000F-3F29-4E53-A550-66FA9309A5B4}"/>
              </c:ext>
            </c:extLst>
          </c:dPt>
          <c:cat>
            <c:strRef>
              <c:f>(Zusammenfassung!$A$4:$A$5,Zusammenfassung!$D$39:$D$44)</c:f>
              <c:strCache>
                <c:ptCount val="8"/>
                <c:pt idx="0">
                  <c:v>Scope 1</c:v>
                </c:pt>
                <c:pt idx="1">
                  <c:v>Scope 2</c:v>
                </c:pt>
                <c:pt idx="2">
                  <c:v>Betriebsmittel</c:v>
                </c:pt>
                <c:pt idx="3">
                  <c:v>Energiebezogene Aktivitäten</c:v>
                </c:pt>
                <c:pt idx="4">
                  <c:v>Vorgelagerter Transport</c:v>
                </c:pt>
                <c:pt idx="5">
                  <c:v>Abfälle</c:v>
                </c:pt>
                <c:pt idx="6">
                  <c:v>Dienstreisen</c:v>
                </c:pt>
                <c:pt idx="7">
                  <c:v>MA-Pendeln</c:v>
                </c:pt>
              </c:strCache>
            </c:strRef>
          </c:cat>
          <c:val>
            <c:numRef>
              <c:f>(Zusammenfassung!$F$4:$F$5,Zusammenfassung!$F$39:$F$44)</c:f>
              <c:numCache>
                <c:formatCode>_(* #,##0.00_);_(* \(#,##0.00\);_(* "-"??_);_(@_)</c:formatCode>
                <c:ptCount val="8"/>
                <c:pt idx="0">
                  <c:v>15087.364138767771</c:v>
                </c:pt>
                <c:pt idx="1">
                  <c:v>27061.4580819</c:v>
                </c:pt>
                <c:pt idx="2">
                  <c:v>3169.6201114807654</c:v>
                </c:pt>
                <c:pt idx="3">
                  <c:v>4256.5607343601896</c:v>
                </c:pt>
                <c:pt idx="4">
                  <c:v>1.3502497499999999</c:v>
                </c:pt>
                <c:pt idx="5">
                  <c:v>2332.8338379000006</c:v>
                </c:pt>
                <c:pt idx="6">
                  <c:v>54814.127808200014</c:v>
                </c:pt>
                <c:pt idx="7">
                  <c:v>1620.1879082999999</c:v>
                </c:pt>
              </c:numCache>
            </c:numRef>
          </c:val>
          <c:extLst>
            <c:ext xmlns:c16="http://schemas.microsoft.com/office/drawing/2014/chart" uri="{C3380CC4-5D6E-409C-BE32-E72D297353CC}">
              <c16:uniqueId val="{00000000-B4B1-42EF-A9E1-6768EB51FAB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Reversed" id="26">
  <a:schemeClr val="accent6"/>
</cs:colorStyle>
</file>

<file path=xl/charts/colors3.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47</xdr:row>
      <xdr:rowOff>14287</xdr:rowOff>
    </xdr:from>
    <xdr:to>
      <xdr:col>5</xdr:col>
      <xdr:colOff>361950</xdr:colOff>
      <xdr:row>61</xdr:row>
      <xdr:rowOff>90487</xdr:rowOff>
    </xdr:to>
    <xdr:graphicFrame macro="">
      <xdr:nvGraphicFramePr>
        <xdr:cNvPr id="2" name="Diagramm 1">
          <a:extLst>
            <a:ext uri="{FF2B5EF4-FFF2-40B4-BE49-F238E27FC236}">
              <a16:creationId xmlns:a16="http://schemas.microsoft.com/office/drawing/2014/main" id="{77DF5F82-49C7-F6DA-F4EF-023CBD355E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638175</xdr:colOff>
      <xdr:row>46</xdr:row>
      <xdr:rowOff>176212</xdr:rowOff>
    </xdr:from>
    <xdr:to>
      <xdr:col>7</xdr:col>
      <xdr:colOff>800100</xdr:colOff>
      <xdr:row>61</xdr:row>
      <xdr:rowOff>61912</xdr:rowOff>
    </xdr:to>
    <xdr:graphicFrame macro="">
      <xdr:nvGraphicFramePr>
        <xdr:cNvPr id="3" name="Diagramm 2">
          <a:extLst>
            <a:ext uri="{FF2B5EF4-FFF2-40B4-BE49-F238E27FC236}">
              <a16:creationId xmlns:a16="http://schemas.microsoft.com/office/drawing/2014/main" id="{301B9B63-58AD-2D4C-D49E-193009275B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1162050</xdr:colOff>
      <xdr:row>46</xdr:row>
      <xdr:rowOff>147637</xdr:rowOff>
    </xdr:from>
    <xdr:to>
      <xdr:col>8</xdr:col>
      <xdr:colOff>476250</xdr:colOff>
      <xdr:row>65</xdr:row>
      <xdr:rowOff>47625</xdr:rowOff>
    </xdr:to>
    <xdr:graphicFrame macro="">
      <xdr:nvGraphicFramePr>
        <xdr:cNvPr id="5" name="Diagramm 4">
          <a:extLst>
            <a:ext uri="{FF2B5EF4-FFF2-40B4-BE49-F238E27FC236}">
              <a16:creationId xmlns:a16="http://schemas.microsoft.com/office/drawing/2014/main" id="{F67D58E4-4C3D-4DC1-BCC6-94E9ABD9C4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314325</xdr:colOff>
      <xdr:row>47</xdr:row>
      <xdr:rowOff>114301</xdr:rowOff>
    </xdr:from>
    <xdr:to>
      <xdr:col>10</xdr:col>
      <xdr:colOff>2667000</xdr:colOff>
      <xdr:row>55</xdr:row>
      <xdr:rowOff>152511</xdr:rowOff>
    </xdr:to>
    <xdr:pic>
      <xdr:nvPicPr>
        <xdr:cNvPr id="2" name="Grafik 1">
          <a:extLst>
            <a:ext uri="{FF2B5EF4-FFF2-40B4-BE49-F238E27FC236}">
              <a16:creationId xmlns:a16="http://schemas.microsoft.com/office/drawing/2014/main" id="{991A9E60-3754-4B23-AE80-0872A6E793A2}"/>
            </a:ext>
          </a:extLst>
        </xdr:cNvPr>
        <xdr:cNvPicPr>
          <a:picLocks noChangeAspect="1"/>
        </xdr:cNvPicPr>
      </xdr:nvPicPr>
      <xdr:blipFill>
        <a:blip xmlns:r="http://schemas.openxmlformats.org/officeDocument/2006/relationships" r:embed="rId1"/>
        <a:stretch>
          <a:fillRect/>
        </a:stretch>
      </xdr:blipFill>
      <xdr:spPr>
        <a:xfrm>
          <a:off x="12839700" y="8953501"/>
          <a:ext cx="5800725" cy="1559035"/>
        </a:xfrm>
        <a:prstGeom prst="rect">
          <a:avLst/>
        </a:prstGeom>
      </xdr:spPr>
    </xdr:pic>
    <xdr:clientData/>
  </xdr:twoCellAnchor>
  <xdr:twoCellAnchor editAs="oneCell">
    <xdr:from>
      <xdr:col>7</xdr:col>
      <xdr:colOff>552450</xdr:colOff>
      <xdr:row>27</xdr:row>
      <xdr:rowOff>28576</xdr:rowOff>
    </xdr:from>
    <xdr:to>
      <xdr:col>10</xdr:col>
      <xdr:colOff>2171700</xdr:colOff>
      <xdr:row>45</xdr:row>
      <xdr:rowOff>94501</xdr:rowOff>
    </xdr:to>
    <xdr:pic>
      <xdr:nvPicPr>
        <xdr:cNvPr id="3" name="Grafik 2">
          <a:extLst>
            <a:ext uri="{FF2B5EF4-FFF2-40B4-BE49-F238E27FC236}">
              <a16:creationId xmlns:a16="http://schemas.microsoft.com/office/drawing/2014/main" id="{7DC93A1C-CACB-214D-475C-0BD33EE7FFB7}"/>
            </a:ext>
          </a:extLst>
        </xdr:cNvPr>
        <xdr:cNvPicPr>
          <a:picLocks noChangeAspect="1"/>
        </xdr:cNvPicPr>
      </xdr:nvPicPr>
      <xdr:blipFill>
        <a:blip xmlns:r="http://schemas.openxmlformats.org/officeDocument/2006/relationships" r:embed="rId2"/>
        <a:stretch>
          <a:fillRect/>
        </a:stretch>
      </xdr:blipFill>
      <xdr:spPr>
        <a:xfrm>
          <a:off x="13839825" y="5057776"/>
          <a:ext cx="4305300" cy="35330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453225</xdr:colOff>
      <xdr:row>3</xdr:row>
      <xdr:rowOff>111318</xdr:rowOff>
    </xdr:from>
    <xdr:to>
      <xdr:col>13</xdr:col>
      <xdr:colOff>246491</xdr:colOff>
      <xdr:row>5</xdr:row>
      <xdr:rowOff>79512</xdr:rowOff>
    </xdr:to>
    <xdr:sp macro="" textlink="">
      <xdr:nvSpPr>
        <xdr:cNvPr id="2" name="Pfeil: nach rechts 1">
          <a:extLst>
            <a:ext uri="{FF2B5EF4-FFF2-40B4-BE49-F238E27FC236}">
              <a16:creationId xmlns:a16="http://schemas.microsoft.com/office/drawing/2014/main" id="{2D913882-74EE-4DA6-8D13-CA7B06730DCD}"/>
            </a:ext>
          </a:extLst>
        </xdr:cNvPr>
        <xdr:cNvSpPr/>
      </xdr:nvSpPr>
      <xdr:spPr>
        <a:xfrm>
          <a:off x="7450373" y="683812"/>
          <a:ext cx="1065475" cy="349857"/>
        </a:xfrm>
        <a:prstGeom prst="rightArrow">
          <a:avLst/>
        </a:prstGeom>
        <a:solidFill>
          <a:srgbClr val="92D05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20</xdr:col>
      <xdr:colOff>71562</xdr:colOff>
      <xdr:row>11</xdr:row>
      <xdr:rowOff>188352</xdr:rowOff>
    </xdr:from>
    <xdr:to>
      <xdr:col>30</xdr:col>
      <xdr:colOff>534866</xdr:colOff>
      <xdr:row>39</xdr:row>
      <xdr:rowOff>15903</xdr:rowOff>
    </xdr:to>
    <xdr:grpSp>
      <xdr:nvGrpSpPr>
        <xdr:cNvPr id="3" name="Gruppieren 2">
          <a:extLst>
            <a:ext uri="{FF2B5EF4-FFF2-40B4-BE49-F238E27FC236}">
              <a16:creationId xmlns:a16="http://schemas.microsoft.com/office/drawing/2014/main" id="{CA834AED-AEDB-4E6F-ACE5-0A3BD21414D4}"/>
            </a:ext>
          </a:extLst>
        </xdr:cNvPr>
        <xdr:cNvGrpSpPr/>
      </xdr:nvGrpSpPr>
      <xdr:grpSpPr>
        <a:xfrm>
          <a:off x="0" y="3026802"/>
          <a:ext cx="0" cy="5313951"/>
          <a:chOff x="17612140" y="3011065"/>
          <a:chExt cx="6824347" cy="3835008"/>
        </a:xfrm>
      </xdr:grpSpPr>
      <xdr:pic>
        <xdr:nvPicPr>
          <xdr:cNvPr id="4" name="Grafik 3">
            <a:extLst>
              <a:ext uri="{FF2B5EF4-FFF2-40B4-BE49-F238E27FC236}">
                <a16:creationId xmlns:a16="http://schemas.microsoft.com/office/drawing/2014/main" id="{18B5ABCE-7670-F309-180C-6C40AFAA14AC}"/>
              </a:ext>
            </a:extLst>
          </xdr:cNvPr>
          <xdr:cNvPicPr>
            <a:picLocks noChangeAspect="1"/>
          </xdr:cNvPicPr>
        </xdr:nvPicPr>
        <xdr:blipFill>
          <a:blip xmlns:r="http://schemas.openxmlformats.org/officeDocument/2006/relationships" r:embed="rId1"/>
          <a:stretch>
            <a:fillRect/>
          </a:stretch>
        </xdr:blipFill>
        <xdr:spPr>
          <a:xfrm>
            <a:off x="17612140" y="3011065"/>
            <a:ext cx="6824347" cy="3835008"/>
          </a:xfrm>
          <a:prstGeom prst="rect">
            <a:avLst/>
          </a:prstGeom>
        </xdr:spPr>
      </xdr:pic>
      <xdr:sp macro="" textlink="">
        <xdr:nvSpPr>
          <xdr:cNvPr id="5" name="Textfeld 4">
            <a:extLst>
              <a:ext uri="{FF2B5EF4-FFF2-40B4-BE49-F238E27FC236}">
                <a16:creationId xmlns:a16="http://schemas.microsoft.com/office/drawing/2014/main" id="{85CDC698-9060-6DD6-6B9A-D9ADCA5ECE69}"/>
              </a:ext>
            </a:extLst>
          </xdr:cNvPr>
          <xdr:cNvSpPr txBox="1"/>
        </xdr:nvSpPr>
        <xdr:spPr>
          <a:xfrm>
            <a:off x="22557850" y="4071068"/>
            <a:ext cx="1224501" cy="2862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a:solidFill>
                  <a:srgbClr val="7030A0"/>
                </a:solidFill>
              </a:rPr>
              <a:t>BA Adelina</a:t>
            </a:r>
          </a:p>
        </xdr:txBody>
      </xdr:sp>
    </xdr:grpSp>
    <xdr:clientData/>
  </xdr:twoCellAnchor>
  <xdr:oneCellAnchor>
    <xdr:from>
      <xdr:col>20</xdr:col>
      <xdr:colOff>0</xdr:colOff>
      <xdr:row>41</xdr:row>
      <xdr:rowOff>0</xdr:rowOff>
    </xdr:from>
    <xdr:ext cx="6953914" cy="6715766"/>
    <xdr:pic>
      <xdr:nvPicPr>
        <xdr:cNvPr id="6" name="Grafik 5">
          <a:extLst>
            <a:ext uri="{FF2B5EF4-FFF2-40B4-BE49-F238E27FC236}">
              <a16:creationId xmlns:a16="http://schemas.microsoft.com/office/drawing/2014/main" id="{84205442-F6DB-49EC-89C0-3C4EA76D55F9}"/>
            </a:ext>
          </a:extLst>
        </xdr:cNvPr>
        <xdr:cNvPicPr>
          <a:picLocks noChangeAspect="1"/>
        </xdr:cNvPicPr>
      </xdr:nvPicPr>
      <xdr:blipFill>
        <a:blip xmlns:r="http://schemas.openxmlformats.org/officeDocument/2006/relationships" r:embed="rId2"/>
        <a:stretch>
          <a:fillRect/>
        </a:stretch>
      </xdr:blipFill>
      <xdr:spPr>
        <a:xfrm>
          <a:off x="12722087" y="7060758"/>
          <a:ext cx="6953914" cy="6715766"/>
        </a:xfrm>
        <a:prstGeom prst="rect">
          <a:avLst/>
        </a:prstGeom>
      </xdr:spPr>
    </xdr:pic>
    <xdr:clientData/>
  </xdr:oneCellAnchor>
  <xdr:twoCellAnchor>
    <xdr:from>
      <xdr:col>20</xdr:col>
      <xdr:colOff>238539</xdr:colOff>
      <xdr:row>46</xdr:row>
      <xdr:rowOff>103368</xdr:rowOff>
    </xdr:from>
    <xdr:to>
      <xdr:col>22</xdr:col>
      <xdr:colOff>190832</xdr:colOff>
      <xdr:row>48</xdr:row>
      <xdr:rowOff>7952</xdr:rowOff>
    </xdr:to>
    <xdr:sp macro="" textlink="">
      <xdr:nvSpPr>
        <xdr:cNvPr id="7" name="Textfeld 6">
          <a:extLst>
            <a:ext uri="{FF2B5EF4-FFF2-40B4-BE49-F238E27FC236}">
              <a16:creationId xmlns:a16="http://schemas.microsoft.com/office/drawing/2014/main" id="{279CF7E8-CAFF-4A4F-A3CE-6E6C0F1EF9A8}"/>
            </a:ext>
          </a:extLst>
        </xdr:cNvPr>
        <xdr:cNvSpPr txBox="1"/>
      </xdr:nvSpPr>
      <xdr:spPr>
        <a:xfrm>
          <a:off x="12960626" y="8118283"/>
          <a:ext cx="1224502" cy="2862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a:solidFill>
                <a:srgbClr val="7030A0"/>
              </a:solidFill>
            </a:rPr>
            <a:t>BA Adelina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gruppen\ETA\WiMi-Team\100%20Dokumentation\CO2-Bilanzierung_ETA\2024\2024_Umfrage_Dienstreisen_MA_Pendeln_ETA.xlsx" TargetMode="External"/><Relationship Id="rId1" Type="http://schemas.openxmlformats.org/officeDocument/2006/relationships/externalLinkPath" Target="/gruppen/ETA/WiMi-Team/100%20Dokumentation/CO2-Bilanzierung_ETA/2024/2024_Umfrage_Dienstreisen_MA_Pendeln_E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rbeitsweg"/>
      <sheetName val="Dienstreisen"/>
      <sheetName val="Analysis"/>
      <sheetName val="Transport CO2"/>
      <sheetName val="Hotelfaktoren_climatiq"/>
      <sheetName val="UK_Gov_Hotelfaktoren_2022"/>
      <sheetName val="formula clipboard"/>
    </sheetNames>
    <sheetDataSet>
      <sheetData sheetId="0">
        <row r="31">
          <cell r="J31">
            <v>994.5</v>
          </cell>
        </row>
        <row r="36">
          <cell r="A36">
            <v>1620.1879082999999</v>
          </cell>
        </row>
      </sheetData>
      <sheetData sheetId="1">
        <row r="1">
          <cell r="J1">
            <v>54814.127808200014</v>
          </cell>
        </row>
      </sheetData>
      <sheetData sheetId="2" refreshError="1"/>
      <sheetData sheetId="3" refreshError="1"/>
      <sheetData sheetId="4" refreshError="1"/>
      <sheetData sheetId="5" refreshError="1"/>
      <sheetData sheetId="6" refreshError="1"/>
    </sheetDataSet>
  </externalBook>
</externalLink>
</file>

<file path=xl/persons/person.xml><?xml version="1.0" encoding="utf-8"?>
<personList xmlns="http://schemas.microsoft.com/office/spreadsheetml/2018/threadedcomments" xmlns:x="http://schemas.openxmlformats.org/spreadsheetml/2006/main">
  <person displayName="Ozen, Oskay" id="{D9B042A2-57AB-4A09-87C8-1D26D1FB690A}" userId="S::O.Ozen@ptw.tu-darmstadt.de::a7912274-c68b-48f0-82ce-68ccec4a83ec"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2" dT="2025-06-16T14:46:07.68" personId="{D9B042A2-57AB-4A09-87C8-1D26D1FB690A}" id="{5DBEBA16-AC1D-4DE0-8CFF-5D2F4990EE7F}">
    <text>BHKW_VB-EM6-15.321.ThHy_E.WMZ321
Auflösung 10 s</text>
  </threadedComment>
  <threadedComment ref="M2" dT="2025-06-16T14:45:51.81" personId="{D9B042A2-57AB-4A09-87C8-1D26D1FB690A}" id="{8896961B-A82C-41F0-8CD5-A634EE94DA1E}">
    <text>BHKW_VB-EM9-20.322.ThHy_E.WMZ322
Auflösung 10 s</text>
  </threadedComment>
  <threadedComment ref="O2" dT="2025-06-16T14:45:39.98" personId="{D9B042A2-57AB-4A09-87C8-1D26D1FB690A}" id="{F3CF9D0E-AF1D-43DF-82BE-9BF2AE5B8E19}">
    <text xml:space="preserve">BWK_VD-200W.331.ThHy_E.WMZ331
Auflösung 10 s
</text>
  </threadedComment>
  <threadedComment ref="I11" dT="2025-06-13T12:50:36.52" personId="{D9B042A2-57AB-4A09-87C8-1D26D1FB690A}" id="{0C24278B-9322-4B9B-86BE-DD3707D449C3}">
    <text>Doesn‘t exist in ecoinvent</text>
  </threadedComment>
  <threadedComment ref="C20" dT="2025-02-10T13:20:20.53" personId="{D9B042A2-57AB-4A09-87C8-1D26D1FB690A}" id="{536A0986-AFD3-498F-8EE3-1DED1D635CFB}">
    <text>750 km * (H9 / 1000) t</text>
  </threadedComment>
  <threadedComment ref="C20" dT="2025-02-10T13:20:28.78" personId="{D9B042A2-57AB-4A09-87C8-1D26D1FB690A}" id="{7464E58B-B1A9-4442-9BD9-87DA34A4C334}" parentId="{536A0986-AFD3-498F-8EE3-1DED1D635CFB}">
    <text>Lieferstrecke ca. 750 km</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probas.umweltbundesamt.de/php/prozessdetails.php?id=%7b3492B409-0B8D-4CF1-B421-66547769222B%7d" TargetMode="External"/><Relationship Id="rId2" Type="http://schemas.openxmlformats.org/officeDocument/2006/relationships/hyperlink" Target="https://www.probas.umweltbundesamt.de/php/prozessdetails.php?id=%7b2D9B6BE8-2E52-484F-8613-C95A97662456%7d" TargetMode="External"/><Relationship Id="rId1" Type="http://schemas.openxmlformats.org/officeDocument/2006/relationships/hyperlink" Target="https://www.umweltbundesamt.de/themen/co2-emissionen-pro-kilowattstunde-strom-2024" TargetMode="External"/><Relationship Id="rId6" Type="http://schemas.openxmlformats.org/officeDocument/2006/relationships/drawing" Target="../drawings/drawing2.xml"/><Relationship Id="rId5" Type="http://schemas.openxmlformats.org/officeDocument/2006/relationships/hyperlink" Target="https://www.probas.umweltbundesamt.de/php/prozessdetails.php?id=%7b79A3BA36-8F46-48C1-B379-0D3ABA48F561%7d" TargetMode="External"/><Relationship Id="rId4" Type="http://schemas.openxmlformats.org/officeDocument/2006/relationships/hyperlink" Target="https://www.probas.umweltbundesamt.de/php/prozessdetails.php?id=%7b0E0B2E01-9043-11D3-B2C8-0080C8941B49%7d"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tk.de/presse/themen/praevention/gesundheitsstudien/rekordjahr-2022-krankenstand-2143812?tkcm=aau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7282A-8854-4A13-82E1-61EFCF00AD44}">
  <dimension ref="A1:AC66"/>
  <sheetViews>
    <sheetView tabSelected="1" zoomScale="115" zoomScaleNormal="115" workbookViewId="0">
      <selection activeCell="F39" sqref="F39"/>
    </sheetView>
  </sheetViews>
  <sheetFormatPr baseColWidth="10" defaultRowHeight="14.75" x14ac:dyDescent="0.75"/>
  <cols>
    <col min="1" max="1" width="15.26953125" style="3" customWidth="1"/>
    <col min="2" max="2" width="33.40625" customWidth="1"/>
    <col min="3" max="3" width="12.86328125" bestFit="1" customWidth="1"/>
    <col min="6" max="6" width="55.86328125" customWidth="1"/>
    <col min="7" max="7" width="47.40625" hidden="1" customWidth="1"/>
    <col min="8" max="8" width="92.26953125" hidden="1" customWidth="1"/>
    <col min="9" max="9" width="12" hidden="1" customWidth="1"/>
    <col min="10" max="10" width="22.26953125" hidden="1" customWidth="1"/>
    <col min="11" max="13" width="0" hidden="1" customWidth="1"/>
    <col min="14" max="14" width="12" hidden="1" customWidth="1"/>
    <col min="15" max="15" width="0" hidden="1" customWidth="1"/>
    <col min="16" max="16" width="12" hidden="1" customWidth="1"/>
    <col min="17" max="22" width="0" hidden="1" customWidth="1"/>
    <col min="27" max="27" width="12.6796875" customWidth="1"/>
  </cols>
  <sheetData>
    <row r="1" spans="1:29" ht="18.5" x14ac:dyDescent="0.75">
      <c r="A1" s="4" t="s">
        <v>347</v>
      </c>
      <c r="J1" s="124"/>
      <c r="L1" s="124"/>
      <c r="N1" s="124"/>
    </row>
    <row r="2" spans="1:29" ht="19.25" thickBot="1" x14ac:dyDescent="1.05">
      <c r="B2" s="1"/>
      <c r="J2">
        <f>85.543-(71.266)</f>
        <v>14.277000000000001</v>
      </c>
      <c r="K2" s="46" t="s">
        <v>370</v>
      </c>
      <c r="L2">
        <f>132.477-97.172</f>
        <v>35.305000000000007</v>
      </c>
      <c r="M2" s="46" t="s">
        <v>371</v>
      </c>
      <c r="N2">
        <f>66.981-55.269</f>
        <v>11.711999999999996</v>
      </c>
      <c r="O2" t="s">
        <v>372</v>
      </c>
      <c r="Q2">
        <f>N2+L2+J2</f>
        <v>61.294000000000004</v>
      </c>
      <c r="X2" t="s">
        <v>391</v>
      </c>
    </row>
    <row r="3" spans="1:29" ht="30.25" thickBot="1" x14ac:dyDescent="0.9">
      <c r="A3" s="36" t="s">
        <v>32</v>
      </c>
      <c r="B3" s="39" t="s">
        <v>31</v>
      </c>
      <c r="C3" s="40" t="s">
        <v>6</v>
      </c>
      <c r="D3" s="37" t="s">
        <v>7</v>
      </c>
      <c r="E3" s="41" t="s">
        <v>8</v>
      </c>
      <c r="F3" s="41" t="s">
        <v>116</v>
      </c>
      <c r="G3" s="41" t="s">
        <v>27</v>
      </c>
      <c r="H3" s="42" t="s">
        <v>28</v>
      </c>
      <c r="X3" s="125" t="s">
        <v>374</v>
      </c>
      <c r="Y3" s="125" t="s">
        <v>375</v>
      </c>
      <c r="Z3" s="125" t="s">
        <v>376</v>
      </c>
      <c r="AA3" s="125" t="s">
        <v>377</v>
      </c>
    </row>
    <row r="4" spans="1:29" ht="15.5" thickBot="1" x14ac:dyDescent="0.9">
      <c r="A4" s="15" t="s">
        <v>0</v>
      </c>
      <c r="B4" s="16" t="s">
        <v>1</v>
      </c>
      <c r="C4" s="65">
        <f>T4</f>
        <v>5809.8578199052126</v>
      </c>
      <c r="D4" s="17" t="s">
        <v>112</v>
      </c>
      <c r="E4" s="18">
        <f>'CO2-Faktoren'!B15</f>
        <v>2.5968559999999998</v>
      </c>
      <c r="F4" s="48">
        <f>C4*E4</f>
        <v>15087.364138767771</v>
      </c>
      <c r="G4" s="18" t="s">
        <v>110</v>
      </c>
      <c r="H4" s="18" t="s">
        <v>368</v>
      </c>
      <c r="J4" s="46">
        <f>J2*1000</f>
        <v>14277.000000000002</v>
      </c>
      <c r="K4" s="46" t="s">
        <v>364</v>
      </c>
      <c r="L4" s="46">
        <f>L2*1000</f>
        <v>35305.000000000007</v>
      </c>
      <c r="M4" s="46" t="s">
        <v>365</v>
      </c>
      <c r="N4" s="46">
        <f>N2*1000</f>
        <v>11711.999999999996</v>
      </c>
      <c r="O4" t="s">
        <v>366</v>
      </c>
      <c r="Q4">
        <f>J4+L4+N4</f>
        <v>61294</v>
      </c>
      <c r="R4" t="s">
        <v>367</v>
      </c>
      <c r="T4">
        <f>Q4/10.55</f>
        <v>5809.8578199052126</v>
      </c>
      <c r="U4" t="s">
        <v>369</v>
      </c>
      <c r="X4" s="46" t="s">
        <v>378</v>
      </c>
      <c r="Y4" s="46">
        <v>3.62</v>
      </c>
      <c r="Z4" s="46">
        <v>1.5</v>
      </c>
      <c r="AA4" s="46">
        <v>-2.12</v>
      </c>
      <c r="AB4" s="136">
        <f>SUM(AA4:AA8)</f>
        <v>7.5</v>
      </c>
    </row>
    <row r="5" spans="1:29" ht="15.5" thickBot="1" x14ac:dyDescent="0.9">
      <c r="A5" s="11" t="s">
        <v>2</v>
      </c>
      <c r="B5" s="12" t="s">
        <v>25</v>
      </c>
      <c r="C5" s="64">
        <v>74549.471300000005</v>
      </c>
      <c r="D5" s="13" t="s">
        <v>23</v>
      </c>
      <c r="E5" s="14">
        <f>'CO2-Faktoren'!B5</f>
        <v>0.36299999999999999</v>
      </c>
      <c r="F5" s="49">
        <f>C5*E5</f>
        <v>27061.4580819</v>
      </c>
      <c r="G5" s="14" t="s">
        <v>288</v>
      </c>
      <c r="H5" s="14"/>
      <c r="J5" s="46"/>
      <c r="K5" s="46"/>
      <c r="L5" s="46"/>
      <c r="M5" s="46"/>
      <c r="N5" s="46"/>
      <c r="X5" s="46" t="s">
        <v>379</v>
      </c>
      <c r="Y5" s="46">
        <v>3.21</v>
      </c>
      <c r="Z5" s="46">
        <v>6.58</v>
      </c>
      <c r="AA5" s="46">
        <v>3.37</v>
      </c>
      <c r="AB5" s="136"/>
    </row>
    <row r="6" spans="1:29" x14ac:dyDescent="0.75">
      <c r="A6" s="130" t="s">
        <v>24</v>
      </c>
      <c r="B6" s="19" t="s">
        <v>4</v>
      </c>
      <c r="C6" s="85">
        <f>60*1.02</f>
        <v>61.2</v>
      </c>
      <c r="D6" s="20" t="s">
        <v>33</v>
      </c>
      <c r="E6" s="21">
        <f>'CO2-Faktoren'!B13</f>
        <v>3.3595000000000002</v>
      </c>
      <c r="F6" s="86">
        <f t="shared" ref="F6:F11" si="0">E6*C6</f>
        <v>205.60140000000001</v>
      </c>
      <c r="G6" s="21" t="s">
        <v>248</v>
      </c>
      <c r="H6" s="87" t="s">
        <v>335</v>
      </c>
      <c r="X6" s="46" t="s">
        <v>380</v>
      </c>
      <c r="Y6" s="46">
        <v>5.74</v>
      </c>
      <c r="Z6" s="46">
        <v>7.48</v>
      </c>
      <c r="AA6" s="46">
        <v>1.74</v>
      </c>
      <c r="AB6" s="136"/>
    </row>
    <row r="7" spans="1:29" x14ac:dyDescent="0.75">
      <c r="A7" s="131"/>
      <c r="B7" s="22" t="s">
        <v>3</v>
      </c>
      <c r="C7" s="66">
        <f>880*0.9</f>
        <v>792</v>
      </c>
      <c r="D7" s="84" t="s">
        <v>33</v>
      </c>
      <c r="E7" s="25">
        <f>'CO2-Faktoren'!B7</f>
        <v>1.5416000000000001</v>
      </c>
      <c r="F7" s="50">
        <f t="shared" si="0"/>
        <v>1220.9472000000001</v>
      </c>
      <c r="G7" s="25" t="s">
        <v>241</v>
      </c>
      <c r="H7" s="25" t="s">
        <v>242</v>
      </c>
      <c r="N7" s="46"/>
      <c r="O7" s="46"/>
      <c r="X7" s="46" t="s">
        <v>381</v>
      </c>
      <c r="Y7" s="46">
        <v>7.53</v>
      </c>
      <c r="Z7" s="46">
        <v>10.07</v>
      </c>
      <c r="AA7" s="46">
        <v>2.54</v>
      </c>
      <c r="AB7" s="136"/>
      <c r="AC7" s="127" t="s">
        <v>392</v>
      </c>
    </row>
    <row r="8" spans="1:29" x14ac:dyDescent="0.75">
      <c r="A8" s="131"/>
      <c r="B8" s="22" t="s">
        <v>236</v>
      </c>
      <c r="C8" s="66">
        <f>30*0.9</f>
        <v>27</v>
      </c>
      <c r="D8" s="84" t="s">
        <v>33</v>
      </c>
      <c r="E8" s="25">
        <f>'CO2-Faktoren'!B7</f>
        <v>1.5416000000000001</v>
      </c>
      <c r="F8" s="50">
        <f t="shared" si="0"/>
        <v>41.623200000000004</v>
      </c>
      <c r="G8" s="25" t="s">
        <v>241</v>
      </c>
      <c r="H8" s="25" t="s">
        <v>247</v>
      </c>
      <c r="N8" s="46"/>
      <c r="O8" s="46"/>
      <c r="X8" s="46" t="s">
        <v>382</v>
      </c>
      <c r="Y8" s="46">
        <v>13.08</v>
      </c>
      <c r="Z8" s="46">
        <v>15.05</v>
      </c>
      <c r="AA8" s="46">
        <v>1.97</v>
      </c>
      <c r="AB8" s="136"/>
    </row>
    <row r="9" spans="1:29" x14ac:dyDescent="0.75">
      <c r="A9" s="131"/>
      <c r="B9" s="22" t="s">
        <v>5</v>
      </c>
      <c r="C9" s="66">
        <f>H9*0.66679</f>
        <v>33.339500000000001</v>
      </c>
      <c r="D9" s="24" t="s">
        <v>33</v>
      </c>
      <c r="E9" s="101">
        <f>'CO2-Faktoren'!B18</f>
        <v>4.9490999999999996</v>
      </c>
      <c r="F9" s="50">
        <f t="shared" si="0"/>
        <v>165.00051944999998</v>
      </c>
      <c r="G9" s="25" t="s">
        <v>239</v>
      </c>
      <c r="H9" s="120">
        <v>50</v>
      </c>
      <c r="I9" t="s">
        <v>344</v>
      </c>
      <c r="X9" s="46" t="s">
        <v>383</v>
      </c>
      <c r="Y9" s="46">
        <v>18.559999999999999</v>
      </c>
      <c r="Z9" s="46">
        <v>16.760000000000002</v>
      </c>
      <c r="AA9" s="46">
        <v>-1.8</v>
      </c>
    </row>
    <row r="10" spans="1:29" x14ac:dyDescent="0.75">
      <c r="A10" s="131"/>
      <c r="B10" s="22" t="s">
        <v>10</v>
      </c>
      <c r="C10" s="66">
        <f>7.5*0.01</f>
        <v>7.4999999999999997E-2</v>
      </c>
      <c r="D10" s="24" t="s">
        <v>33</v>
      </c>
      <c r="E10" s="25">
        <f>'CO2-Faktoren'!B8</f>
        <v>5.1510999999999996</v>
      </c>
      <c r="F10" s="50">
        <f t="shared" si="0"/>
        <v>0.38633249999999997</v>
      </c>
      <c r="G10" s="25"/>
      <c r="H10" s="102" t="s">
        <v>275</v>
      </c>
      <c r="X10" s="46" t="s">
        <v>384</v>
      </c>
      <c r="Y10" s="46">
        <v>18.72</v>
      </c>
      <c r="Z10" s="46">
        <v>18.809999999999999</v>
      </c>
      <c r="AA10" s="46">
        <v>0.09</v>
      </c>
      <c r="AC10" s="127" t="s">
        <v>393</v>
      </c>
    </row>
    <row r="11" spans="1:29" x14ac:dyDescent="0.75">
      <c r="A11" s="131"/>
      <c r="B11" s="22" t="s">
        <v>357</v>
      </c>
      <c r="C11" s="66">
        <v>3</v>
      </c>
      <c r="D11" s="24" t="s">
        <v>274</v>
      </c>
      <c r="E11" s="25">
        <f>'CO2-Faktoren'!B45</f>
        <v>171.35713348050601</v>
      </c>
      <c r="F11" s="50">
        <f t="shared" si="0"/>
        <v>514.07140044151799</v>
      </c>
      <c r="G11" s="25" t="s">
        <v>363</v>
      </c>
      <c r="H11" s="123" t="s">
        <v>362</v>
      </c>
      <c r="I11" s="122"/>
      <c r="J11" t="s">
        <v>358</v>
      </c>
      <c r="X11" s="46" t="s">
        <v>385</v>
      </c>
      <c r="Y11" s="46">
        <v>18.260000000000002</v>
      </c>
      <c r="Z11" s="46">
        <v>19.87</v>
      </c>
      <c r="AA11" s="46">
        <v>1.61</v>
      </c>
    </row>
    <row r="12" spans="1:29" x14ac:dyDescent="0.75">
      <c r="A12" s="131"/>
      <c r="B12" s="22" t="s">
        <v>331</v>
      </c>
      <c r="C12" s="66">
        <f>0.277*H12 + 0.57*J12 + 0.919*L12</f>
        <v>5.66</v>
      </c>
      <c r="D12" s="24" t="s">
        <v>33</v>
      </c>
      <c r="E12" s="25" t="s">
        <v>356</v>
      </c>
      <c r="F12" s="50">
        <f>0.277*H12*'CO2-Faktoren'!B43 + 0.57*J12*'CO2-Faktoren'!B44 + 0.919*L12*'CO2-Faktoren'!B44</f>
        <v>51.651487089247468</v>
      </c>
      <c r="G12" s="25" t="s">
        <v>348</v>
      </c>
      <c r="H12" s="121">
        <f>1+1+1+1+1+1+1+1+1+2+2</f>
        <v>13</v>
      </c>
      <c r="I12" t="s">
        <v>349</v>
      </c>
      <c r="J12" s="122">
        <f>1+1</f>
        <v>2</v>
      </c>
      <c r="K12" t="s">
        <v>350</v>
      </c>
      <c r="L12" s="122">
        <f>1</f>
        <v>1</v>
      </c>
      <c r="M12" t="s">
        <v>351</v>
      </c>
      <c r="X12" s="46" t="s">
        <v>386</v>
      </c>
      <c r="Y12" s="46">
        <v>17.29</v>
      </c>
      <c r="Z12" s="46">
        <v>15.41</v>
      </c>
      <c r="AA12" s="46">
        <v>-1.88</v>
      </c>
      <c r="AB12" s="136">
        <f>SUM(AA12:AA15)</f>
        <v>-4.2399999999999993</v>
      </c>
    </row>
    <row r="13" spans="1:29" ht="15" customHeight="1" x14ac:dyDescent="0.75">
      <c r="A13" s="131"/>
      <c r="B13" s="22" t="s">
        <v>228</v>
      </c>
      <c r="C13" s="66">
        <v>50</v>
      </c>
      <c r="D13" s="24" t="s">
        <v>33</v>
      </c>
      <c r="E13" s="25">
        <f>'CO2-Faktoren'!B38</f>
        <v>17.71</v>
      </c>
      <c r="F13" s="50">
        <f>C13*E13</f>
        <v>885.5</v>
      </c>
      <c r="G13" s="25" t="s">
        <v>29</v>
      </c>
      <c r="H13" s="109" t="s">
        <v>282</v>
      </c>
      <c r="X13" s="46" t="s">
        <v>387</v>
      </c>
      <c r="Y13" s="46">
        <v>11.85</v>
      </c>
      <c r="Z13" s="46">
        <v>11.03</v>
      </c>
      <c r="AA13" s="46">
        <v>-0.82</v>
      </c>
      <c r="AB13" s="136"/>
      <c r="AC13" s="127" t="s">
        <v>394</v>
      </c>
    </row>
    <row r="14" spans="1:29" ht="15" customHeight="1" x14ac:dyDescent="0.75">
      <c r="A14" s="131"/>
      <c r="B14" s="22" t="s">
        <v>280</v>
      </c>
      <c r="C14" s="66">
        <f>7*360/1000</f>
        <v>2.52</v>
      </c>
      <c r="D14" s="24" t="s">
        <v>33</v>
      </c>
      <c r="E14" s="25">
        <f>'CO2-Faktoren'!B40</f>
        <v>2.0295000000000001</v>
      </c>
      <c r="F14" s="50">
        <f>C14*E14</f>
        <v>5.1143400000000003</v>
      </c>
      <c r="G14" s="25" t="s">
        <v>29</v>
      </c>
      <c r="H14" s="109" t="s">
        <v>283</v>
      </c>
      <c r="X14" s="46" t="s">
        <v>388</v>
      </c>
      <c r="Y14" s="46">
        <v>5.63</v>
      </c>
      <c r="Z14" s="46">
        <v>5.14</v>
      </c>
      <c r="AA14" s="46">
        <v>-0.49</v>
      </c>
      <c r="AB14" s="136"/>
    </row>
    <row r="15" spans="1:29" x14ac:dyDescent="0.75">
      <c r="A15" s="131"/>
      <c r="B15" s="22" t="s">
        <v>273</v>
      </c>
      <c r="C15" s="66">
        <v>1</v>
      </c>
      <c r="D15" s="24" t="s">
        <v>274</v>
      </c>
      <c r="E15" s="25"/>
      <c r="F15" s="50"/>
      <c r="G15" s="25" t="s">
        <v>29</v>
      </c>
      <c r="H15" s="110" t="s">
        <v>373</v>
      </c>
      <c r="X15" s="46" t="s">
        <v>389</v>
      </c>
      <c r="Y15" s="46">
        <v>4.05</v>
      </c>
      <c r="Z15" s="46">
        <v>3</v>
      </c>
      <c r="AA15" s="46">
        <v>-1.05</v>
      </c>
      <c r="AB15" s="136"/>
    </row>
    <row r="16" spans="1:29" x14ac:dyDescent="0.75">
      <c r="A16" s="132"/>
      <c r="B16" s="26" t="s">
        <v>11</v>
      </c>
      <c r="C16" s="90">
        <f>I16</f>
        <v>69.86</v>
      </c>
      <c r="D16" s="27" t="s">
        <v>33</v>
      </c>
      <c r="E16" s="28">
        <f>'CO2-Faktoren'!B25</f>
        <v>1.1412</v>
      </c>
      <c r="F16" s="92">
        <f>E16*C16</f>
        <v>79.724232000000001</v>
      </c>
      <c r="G16" s="28" t="s">
        <v>29</v>
      </c>
      <c r="H16" s="28" t="s">
        <v>281</v>
      </c>
      <c r="I16">
        <f>7*2000*4.99/1000</f>
        <v>69.86</v>
      </c>
      <c r="X16" s="126" t="s">
        <v>390</v>
      </c>
      <c r="Y16" s="126">
        <v>10.63</v>
      </c>
      <c r="Z16" s="126">
        <v>10.89</v>
      </c>
      <c r="AA16" s="126">
        <v>0.26</v>
      </c>
    </row>
    <row r="17" spans="1:10" x14ac:dyDescent="0.75">
      <c r="A17" s="29" t="s">
        <v>12</v>
      </c>
      <c r="B17" s="22" t="s">
        <v>329</v>
      </c>
      <c r="C17" s="89">
        <f>C4</f>
        <v>5809.8578199052126</v>
      </c>
      <c r="D17" s="24" t="s">
        <v>112</v>
      </c>
      <c r="E17" s="25">
        <f>'CO2-Faktoren'!B14</f>
        <v>0.63944000000000001</v>
      </c>
      <c r="F17" s="50">
        <f>E17*C17</f>
        <v>3715.0554843601894</v>
      </c>
      <c r="G17" s="25" t="s">
        <v>110</v>
      </c>
      <c r="H17" s="25" t="s">
        <v>111</v>
      </c>
      <c r="J17" t="s">
        <v>227</v>
      </c>
    </row>
    <row r="18" spans="1:10" x14ac:dyDescent="0.75">
      <c r="A18" s="29"/>
      <c r="B18" s="22" t="s">
        <v>330</v>
      </c>
      <c r="C18" s="89"/>
      <c r="D18" s="24"/>
      <c r="E18" s="25"/>
      <c r="F18" s="50"/>
      <c r="G18" s="25"/>
      <c r="H18" s="25" t="s">
        <v>336</v>
      </c>
    </row>
    <row r="19" spans="1:10" x14ac:dyDescent="0.75">
      <c r="A19" s="30"/>
      <c r="B19" s="26" t="s">
        <v>26</v>
      </c>
      <c r="C19" s="90">
        <f>[1]Arbeitsweg!$J$31*1.5</f>
        <v>1491.75</v>
      </c>
      <c r="D19" s="27" t="s">
        <v>23</v>
      </c>
      <c r="E19" s="28">
        <f>'CO2-Faktoren'!B5</f>
        <v>0.36299999999999999</v>
      </c>
      <c r="F19" s="50">
        <f>E19*C19</f>
        <v>541.50524999999993</v>
      </c>
      <c r="G19" s="25" t="s">
        <v>166</v>
      </c>
      <c r="H19" s="34" t="s">
        <v>287</v>
      </c>
    </row>
    <row r="20" spans="1:10" x14ac:dyDescent="0.75">
      <c r="A20" s="31" t="s">
        <v>19</v>
      </c>
      <c r="B20" s="32" t="s">
        <v>13</v>
      </c>
      <c r="C20" s="91">
        <f>750*(C9/1000)</f>
        <v>25.004625000000001</v>
      </c>
      <c r="D20" s="33" t="s">
        <v>251</v>
      </c>
      <c r="E20" s="34">
        <f>'CO2-Faktoren'!B39</f>
        <v>5.3999999999999999E-2</v>
      </c>
      <c r="F20" s="93">
        <f>E20*C20</f>
        <v>1.3502497499999999</v>
      </c>
      <c r="G20" s="34" t="s">
        <v>239</v>
      </c>
      <c r="H20" s="34"/>
      <c r="I20" t="s">
        <v>289</v>
      </c>
    </row>
    <row r="21" spans="1:10" x14ac:dyDescent="0.75">
      <c r="A21" s="133" t="s">
        <v>20</v>
      </c>
      <c r="B21" s="22" t="s">
        <v>14</v>
      </c>
      <c r="C21" s="66">
        <f>444/1000*H9</f>
        <v>22.2</v>
      </c>
      <c r="D21" s="24" t="s">
        <v>33</v>
      </c>
      <c r="E21" s="25">
        <f>'CO2-Faktoren'!B10</f>
        <v>4.7489999999999997E-2</v>
      </c>
      <c r="F21" s="50">
        <f t="shared" ref="F21:F24" si="1">E21*C21</f>
        <v>1.0542779999999998</v>
      </c>
      <c r="G21" s="25"/>
      <c r="H21" s="102" t="s">
        <v>337</v>
      </c>
    </row>
    <row r="22" spans="1:10" x14ac:dyDescent="0.75">
      <c r="A22" s="134"/>
      <c r="B22" s="22" t="s">
        <v>15</v>
      </c>
      <c r="C22" s="66">
        <f>880*0.9</f>
        <v>792</v>
      </c>
      <c r="D22" s="24" t="s">
        <v>33</v>
      </c>
      <c r="E22" s="25">
        <f>'CO2-Faktoren'!B11</f>
        <v>2.8471000000000002</v>
      </c>
      <c r="F22" s="50">
        <f t="shared" si="1"/>
        <v>2254.9032000000002</v>
      </c>
      <c r="G22" s="25" t="s">
        <v>243</v>
      </c>
      <c r="H22" s="25"/>
    </row>
    <row r="23" spans="1:10" x14ac:dyDescent="0.75">
      <c r="A23" s="134"/>
      <c r="B23" s="22" t="s">
        <v>16</v>
      </c>
      <c r="C23" s="66">
        <f>30*0.9</f>
        <v>27</v>
      </c>
      <c r="D23" s="24" t="s">
        <v>33</v>
      </c>
      <c r="E23" s="25">
        <f>'CO2-Faktoren'!B11</f>
        <v>2.8471000000000002</v>
      </c>
      <c r="F23" s="50">
        <f t="shared" si="1"/>
        <v>76.871700000000004</v>
      </c>
      <c r="G23" s="25" t="s">
        <v>243</v>
      </c>
      <c r="H23" s="25"/>
    </row>
    <row r="24" spans="1:10" x14ac:dyDescent="0.75">
      <c r="A24" s="134"/>
      <c r="B24" s="22" t="s">
        <v>59</v>
      </c>
      <c r="C24" s="66">
        <f>C10</f>
        <v>7.4999999999999997E-2</v>
      </c>
      <c r="D24" s="24" t="s">
        <v>33</v>
      </c>
      <c r="E24" s="25">
        <f>'CO2-Faktoren'!B12</f>
        <v>6.2132E-2</v>
      </c>
      <c r="F24" s="50">
        <f t="shared" si="1"/>
        <v>4.6598999999999998E-3</v>
      </c>
      <c r="G24" s="25" t="s">
        <v>243</v>
      </c>
      <c r="H24" s="25"/>
    </row>
    <row r="25" spans="1:10" x14ac:dyDescent="0.75">
      <c r="A25" s="134"/>
      <c r="B25" s="24" t="s">
        <v>332</v>
      </c>
      <c r="C25" s="113"/>
      <c r="D25" s="24" t="s">
        <v>326</v>
      </c>
      <c r="E25" s="25"/>
      <c r="F25" s="50">
        <f>'End of Life'!K14</f>
        <v>1.8034924800000001E-2</v>
      </c>
      <c r="G25" s="25"/>
      <c r="H25" s="25"/>
    </row>
    <row r="26" spans="1:10" x14ac:dyDescent="0.75">
      <c r="A26" s="134"/>
      <c r="B26" s="24" t="s">
        <v>333</v>
      </c>
      <c r="C26" s="113"/>
      <c r="D26" s="24" t="s">
        <v>326</v>
      </c>
      <c r="E26" s="25"/>
      <c r="F26" s="119">
        <f>'End of Life'!K15</f>
        <v>7.2654719999999998E-4</v>
      </c>
      <c r="G26" s="24"/>
      <c r="H26" s="113"/>
    </row>
    <row r="27" spans="1:10" x14ac:dyDescent="0.75">
      <c r="A27" s="135"/>
      <c r="B27" s="114" t="s">
        <v>334</v>
      </c>
      <c r="C27" s="92"/>
      <c r="D27" s="27" t="s">
        <v>326</v>
      </c>
      <c r="E27" s="114"/>
      <c r="F27" s="92">
        <f>'End of Life'!K16</f>
        <v>2.4981727679999994</v>
      </c>
      <c r="G27" s="24"/>
      <c r="H27" s="113"/>
    </row>
    <row r="28" spans="1:10" x14ac:dyDescent="0.75">
      <c r="A28" s="35" t="s">
        <v>21</v>
      </c>
      <c r="B28" s="22" t="s">
        <v>17</v>
      </c>
      <c r="C28" s="23"/>
      <c r="D28" s="24"/>
      <c r="E28" s="25"/>
      <c r="F28" s="50">
        <f>[1]Dienstreisen!$J$1</f>
        <v>54814.127808200014</v>
      </c>
      <c r="G28" s="25" t="s">
        <v>255</v>
      </c>
      <c r="H28" s="25" t="s">
        <v>339</v>
      </c>
    </row>
    <row r="29" spans="1:10" ht="15.5" thickBot="1" x14ac:dyDescent="0.9">
      <c r="A29" s="95" t="s">
        <v>22</v>
      </c>
      <c r="B29" s="96" t="s">
        <v>18</v>
      </c>
      <c r="C29" s="97"/>
      <c r="D29" s="98"/>
      <c r="E29" s="99"/>
      <c r="F29" s="105">
        <f>[1]Arbeitsweg!$A$36</f>
        <v>1620.1879082999999</v>
      </c>
      <c r="G29" s="99" t="s">
        <v>255</v>
      </c>
      <c r="H29" s="99" t="s">
        <v>339</v>
      </c>
    </row>
    <row r="30" spans="1:10" ht="15.5" thickBot="1" x14ac:dyDescent="0.9">
      <c r="A30" s="35" t="s">
        <v>290</v>
      </c>
      <c r="B30" s="103" t="s">
        <v>321</v>
      </c>
      <c r="C30" s="105">
        <f>C9-C21</f>
        <v>11.139500000000002</v>
      </c>
      <c r="D30" s="105" t="s">
        <v>33</v>
      </c>
      <c r="E30" s="99"/>
      <c r="F30" s="105">
        <f>'End of Life'!K17</f>
        <v>9.0495515680000006E-3</v>
      </c>
      <c r="G30" s="104"/>
      <c r="H30" s="104" t="s">
        <v>338</v>
      </c>
    </row>
    <row r="31" spans="1:10" ht="15.5" thickBot="1" x14ac:dyDescent="0.9">
      <c r="A31" s="35" t="s">
        <v>291</v>
      </c>
      <c r="B31" s="103" t="s">
        <v>322</v>
      </c>
      <c r="C31" s="105">
        <f>C30</f>
        <v>11.139500000000002</v>
      </c>
      <c r="D31" s="105" t="s">
        <v>33</v>
      </c>
      <c r="E31" s="104"/>
      <c r="F31" s="105">
        <f>C31*'CO2-Faktoren'!B9</f>
        <v>3.2644304750000002</v>
      </c>
      <c r="G31" s="104"/>
      <c r="H31" s="104" t="s">
        <v>338</v>
      </c>
    </row>
    <row r="32" spans="1:10" ht="15.5" thickBot="1" x14ac:dyDescent="0.9">
      <c r="A32" s="35"/>
      <c r="B32" s="103"/>
      <c r="C32" s="24"/>
      <c r="D32" s="24"/>
      <c r="E32" s="104"/>
      <c r="F32" s="105"/>
      <c r="G32" s="104"/>
      <c r="H32" s="104"/>
    </row>
    <row r="33" spans="1:8" ht="15.5" thickBot="1" x14ac:dyDescent="0.9">
      <c r="A33" s="35"/>
      <c r="B33" s="103"/>
      <c r="C33" s="24"/>
      <c r="D33" s="24"/>
      <c r="E33" s="104"/>
      <c r="F33" s="105"/>
      <c r="G33" s="104"/>
      <c r="H33" s="104"/>
    </row>
    <row r="34" spans="1:8" ht="15.5" thickBot="1" x14ac:dyDescent="0.9">
      <c r="A34" s="35"/>
      <c r="B34" s="103"/>
      <c r="C34" s="24"/>
      <c r="D34" s="24"/>
      <c r="E34" s="104"/>
      <c r="F34" s="105"/>
      <c r="G34" s="104"/>
      <c r="H34" s="104"/>
    </row>
    <row r="35" spans="1:8" ht="15.5" thickBot="1" x14ac:dyDescent="0.9">
      <c r="A35" s="35"/>
      <c r="B35" s="103"/>
      <c r="C35" s="24"/>
      <c r="D35" s="24"/>
      <c r="E35" s="104"/>
      <c r="F35" s="105"/>
      <c r="G35" s="104"/>
      <c r="H35" s="104"/>
    </row>
    <row r="36" spans="1:8" ht="15.5" thickBot="1" x14ac:dyDescent="0.9">
      <c r="A36" s="35" t="s">
        <v>256</v>
      </c>
      <c r="B36" s="81"/>
      <c r="C36" s="24"/>
      <c r="D36" s="24"/>
      <c r="E36" s="82"/>
      <c r="F36" s="83">
        <f>SUM(F6:F35)</f>
        <v>66200.471064257523</v>
      </c>
      <c r="G36" s="82"/>
      <c r="H36" s="82"/>
    </row>
    <row r="37" spans="1:8" ht="15.5" thickBot="1" x14ac:dyDescent="0.9">
      <c r="A37" s="36" t="s">
        <v>81</v>
      </c>
      <c r="B37" s="37"/>
      <c r="C37" s="37"/>
      <c r="D37" s="37"/>
      <c r="E37" s="37"/>
      <c r="F37" s="51">
        <f>SUM(F4:F31)</f>
        <v>108349.29328492531</v>
      </c>
      <c r="G37" s="37"/>
      <c r="H37" s="38"/>
    </row>
    <row r="39" spans="1:8" x14ac:dyDescent="0.75">
      <c r="A39" s="3" t="s">
        <v>395</v>
      </c>
      <c r="B39" s="128">
        <f>F4/F37</f>
        <v>0.13924746236316138</v>
      </c>
      <c r="D39" t="s">
        <v>261</v>
      </c>
      <c r="E39" s="88" t="s">
        <v>257</v>
      </c>
      <c r="F39" s="94">
        <f>SUM(F6:F16)</f>
        <v>3169.6201114807654</v>
      </c>
      <c r="G39" s="129">
        <f>F39/$F$37</f>
        <v>2.9253722063010041E-2</v>
      </c>
      <c r="H39" s="118"/>
    </row>
    <row r="40" spans="1:8" x14ac:dyDescent="0.75">
      <c r="A40" s="3" t="s">
        <v>396</v>
      </c>
      <c r="B40" s="128">
        <f>F5/F37</f>
        <v>0.24976127911362273</v>
      </c>
      <c r="D40" t="s">
        <v>262</v>
      </c>
      <c r="E40" s="3" t="s">
        <v>258</v>
      </c>
      <c r="F40" s="94">
        <f>SUM(F17:F19)</f>
        <v>4256.5607343601896</v>
      </c>
      <c r="G40" s="129">
        <f t="shared" ref="G40:G44" si="2">F40/$F$37</f>
        <v>3.9285542206230588E-2</v>
      </c>
    </row>
    <row r="41" spans="1:8" x14ac:dyDescent="0.75">
      <c r="A41" s="3" t="s">
        <v>397</v>
      </c>
      <c r="B41" s="128">
        <f>F36/F37</f>
        <v>0.61099125852321567</v>
      </c>
      <c r="D41" t="s">
        <v>263</v>
      </c>
      <c r="E41" s="3" t="s">
        <v>259</v>
      </c>
      <c r="F41" s="94">
        <f>SUM(F20)</f>
        <v>1.3502497499999999</v>
      </c>
      <c r="G41" s="129">
        <f t="shared" si="2"/>
        <v>1.2462007910372414E-5</v>
      </c>
    </row>
    <row r="42" spans="1:8" x14ac:dyDescent="0.75">
      <c r="D42" t="s">
        <v>264</v>
      </c>
      <c r="E42" s="3" t="s">
        <v>260</v>
      </c>
      <c r="F42" s="94">
        <f>SUM(F21:F24)</f>
        <v>2332.8338379000006</v>
      </c>
      <c r="G42" s="129">
        <f t="shared" si="2"/>
        <v>2.1530678855148276E-2</v>
      </c>
    </row>
    <row r="43" spans="1:8" x14ac:dyDescent="0.75">
      <c r="D43" t="s">
        <v>17</v>
      </c>
      <c r="E43" s="88" t="s">
        <v>266</v>
      </c>
      <c r="F43" s="94">
        <f>SUM(F28)</f>
        <v>54814.127808200014</v>
      </c>
      <c r="G43" s="129">
        <f t="shared" si="2"/>
        <v>0.50590203356523722</v>
      </c>
    </row>
    <row r="44" spans="1:8" x14ac:dyDescent="0.75">
      <c r="D44" t="s">
        <v>267</v>
      </c>
      <c r="E44" s="3" t="s">
        <v>265</v>
      </c>
      <c r="F44" s="94">
        <f>SUM(F29)</f>
        <v>1620.1879082999999</v>
      </c>
      <c r="G44" s="129">
        <f t="shared" si="2"/>
        <v>1.4953377721065555E-2</v>
      </c>
    </row>
    <row r="45" spans="1:8" x14ac:dyDescent="0.75">
      <c r="D45" t="s">
        <v>340</v>
      </c>
      <c r="E45" s="3" t="s">
        <v>341</v>
      </c>
      <c r="G45" s="129"/>
    </row>
    <row r="46" spans="1:8" x14ac:dyDescent="0.75">
      <c r="D46" t="s">
        <v>342</v>
      </c>
      <c r="E46" s="3" t="s">
        <v>343</v>
      </c>
    </row>
    <row r="48" spans="1:8" x14ac:dyDescent="0.75">
      <c r="G48">
        <v>79.724232000000001</v>
      </c>
    </row>
    <row r="66" spans="2:3" x14ac:dyDescent="0.75">
      <c r="B66" t="s">
        <v>345</v>
      </c>
      <c r="C66" t="s">
        <v>346</v>
      </c>
    </row>
  </sheetData>
  <mergeCells count="4">
    <mergeCell ref="A6:A16"/>
    <mergeCell ref="A21:A27"/>
    <mergeCell ref="AB4:AB8"/>
    <mergeCell ref="AB12:AB15"/>
  </mergeCells>
  <pageMargins left="0.7" right="0.7" top="0.78740157499999996" bottom="0.78740157499999996" header="0.3" footer="0.3"/>
  <pageSetup paperSize="9" orientation="portrait" horizontalDpi="200" verticalDpi="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8F0E8-DE04-4EDE-AC38-A9886DABA89F}">
  <dimension ref="A4:D24"/>
  <sheetViews>
    <sheetView topLeftCell="A8" workbookViewId="0">
      <selection activeCell="B18" sqref="B18"/>
    </sheetView>
  </sheetViews>
  <sheetFormatPr baseColWidth="10" defaultColWidth="10.7265625" defaultRowHeight="14.75" x14ac:dyDescent="0.75"/>
  <cols>
    <col min="1" max="1" width="5" style="43" customWidth="1"/>
    <col min="2" max="2" width="38.54296875" style="46" customWidth="1"/>
    <col min="3" max="3" width="96.26953125" style="46" customWidth="1"/>
    <col min="4" max="4" width="58.54296875" style="8" customWidth="1"/>
    <col min="5" max="16384" width="10.7265625" style="8"/>
  </cols>
  <sheetData>
    <row r="4" spans="1:4" ht="22.4" customHeight="1" x14ac:dyDescent="0.75">
      <c r="B4" s="44" t="s">
        <v>82</v>
      </c>
      <c r="C4" s="45" t="s">
        <v>83</v>
      </c>
      <c r="D4" s="43" t="s">
        <v>84</v>
      </c>
    </row>
    <row r="6" spans="1:4" ht="29.5" x14ac:dyDescent="0.75">
      <c r="A6" s="43">
        <v>1</v>
      </c>
      <c r="B6" s="46" t="s">
        <v>85</v>
      </c>
      <c r="C6" s="46" t="s">
        <v>86</v>
      </c>
    </row>
    <row r="7" spans="1:4" ht="29.5" x14ac:dyDescent="0.75">
      <c r="A7" s="43">
        <v>2</v>
      </c>
      <c r="B7" s="46" t="s">
        <v>87</v>
      </c>
      <c r="C7" s="47" t="s">
        <v>88</v>
      </c>
    </row>
    <row r="8" spans="1:4" ht="177" x14ac:dyDescent="0.75">
      <c r="A8" s="43">
        <v>3</v>
      </c>
      <c r="B8" s="46" t="s">
        <v>89</v>
      </c>
      <c r="C8" s="46" t="s">
        <v>90</v>
      </c>
    </row>
    <row r="9" spans="1:4" ht="103.25" x14ac:dyDescent="0.75">
      <c r="A9" s="43">
        <v>4</v>
      </c>
      <c r="B9" s="46" t="s">
        <v>91</v>
      </c>
      <c r="C9" s="46" t="s">
        <v>92</v>
      </c>
    </row>
    <row r="10" spans="1:4" ht="44.25" x14ac:dyDescent="0.75">
      <c r="A10" s="43">
        <v>5</v>
      </c>
      <c r="B10" s="46" t="s">
        <v>93</v>
      </c>
      <c r="C10" s="46" t="s">
        <v>94</v>
      </c>
    </row>
    <row r="11" spans="1:4" ht="73.75" x14ac:dyDescent="0.75">
      <c r="A11" s="43">
        <v>6</v>
      </c>
      <c r="B11" s="46" t="s">
        <v>95</v>
      </c>
      <c r="C11" s="46" t="s">
        <v>96</v>
      </c>
      <c r="D11" s="46" t="s">
        <v>97</v>
      </c>
    </row>
    <row r="12" spans="1:4" ht="29.5" x14ac:dyDescent="0.75">
      <c r="A12" s="43">
        <v>7</v>
      </c>
      <c r="B12" s="46" t="s">
        <v>98</v>
      </c>
      <c r="C12" s="46" t="s">
        <v>99</v>
      </c>
    </row>
    <row r="13" spans="1:4" ht="29.5" x14ac:dyDescent="0.75">
      <c r="A13" s="43">
        <v>8</v>
      </c>
      <c r="B13" s="46" t="s">
        <v>100</v>
      </c>
      <c r="C13" s="46" t="s">
        <v>101</v>
      </c>
    </row>
    <row r="16" spans="1:4" x14ac:dyDescent="0.75">
      <c r="B16" s="44" t="s">
        <v>102</v>
      </c>
    </row>
    <row r="18" spans="1:2" x14ac:dyDescent="0.75">
      <c r="A18" s="43">
        <v>9</v>
      </c>
      <c r="B18" s="46" t="s">
        <v>103</v>
      </c>
    </row>
    <row r="19" spans="1:2" x14ac:dyDescent="0.75">
      <c r="A19" s="43">
        <v>10</v>
      </c>
      <c r="B19" s="46" t="s">
        <v>104</v>
      </c>
    </row>
    <row r="20" spans="1:2" x14ac:dyDescent="0.75">
      <c r="A20" s="43">
        <v>11</v>
      </c>
      <c r="B20" s="46" t="s">
        <v>105</v>
      </c>
    </row>
    <row r="21" spans="1:2" ht="29.5" x14ac:dyDescent="0.75">
      <c r="A21" s="43">
        <v>12</v>
      </c>
      <c r="B21" s="46" t="s">
        <v>106</v>
      </c>
    </row>
    <row r="22" spans="1:2" x14ac:dyDescent="0.75">
      <c r="A22" s="43">
        <v>13</v>
      </c>
      <c r="B22" s="46" t="s">
        <v>107</v>
      </c>
    </row>
    <row r="23" spans="1:2" x14ac:dyDescent="0.75">
      <c r="A23" s="43">
        <v>14</v>
      </c>
      <c r="B23" s="46" t="s">
        <v>108</v>
      </c>
    </row>
    <row r="24" spans="1:2" x14ac:dyDescent="0.75">
      <c r="A24" s="43">
        <v>15</v>
      </c>
      <c r="B24" s="46" t="s">
        <v>109</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B63A-0261-4268-B96F-D53A51661F12}">
  <dimension ref="A1:P45"/>
  <sheetViews>
    <sheetView workbookViewId="0">
      <selection activeCell="B6" sqref="B6"/>
    </sheetView>
  </sheetViews>
  <sheetFormatPr baseColWidth="10" defaultRowHeight="14.75" x14ac:dyDescent="0.75"/>
  <cols>
    <col min="1" max="1" width="31.40625" customWidth="1"/>
    <col min="3" max="3" width="13.26953125" bestFit="1" customWidth="1"/>
    <col min="4" max="4" width="18.26953125" bestFit="1" customWidth="1"/>
    <col min="5" max="5" width="102" bestFit="1" customWidth="1"/>
    <col min="10" max="10" width="17.40625" bestFit="1" customWidth="1"/>
    <col min="11" max="11" width="102" bestFit="1" customWidth="1"/>
  </cols>
  <sheetData>
    <row r="1" spans="1:16" ht="21" x14ac:dyDescent="1">
      <c r="A1" s="2" t="s">
        <v>9</v>
      </c>
      <c r="D1">
        <v>4.7489999999999997E-2</v>
      </c>
    </row>
    <row r="3" spans="1:16" x14ac:dyDescent="0.75">
      <c r="A3" s="9"/>
      <c r="B3" s="137" t="s">
        <v>38</v>
      </c>
      <c r="C3" s="137"/>
      <c r="D3" s="137"/>
      <c r="E3" s="137"/>
      <c r="H3" s="138" t="s">
        <v>39</v>
      </c>
      <c r="I3" s="138"/>
      <c r="J3" s="138"/>
      <c r="K3" s="138"/>
    </row>
    <row r="4" spans="1:16" x14ac:dyDescent="0.75">
      <c r="A4" s="10" t="s">
        <v>31</v>
      </c>
      <c r="B4" s="10" t="s">
        <v>8</v>
      </c>
      <c r="C4" s="10" t="s">
        <v>7</v>
      </c>
      <c r="D4" s="10" t="s">
        <v>40</v>
      </c>
      <c r="E4" s="10" t="s">
        <v>269</v>
      </c>
      <c r="F4" s="5" t="s">
        <v>28</v>
      </c>
      <c r="G4" s="5"/>
      <c r="H4" s="10" t="s">
        <v>8</v>
      </c>
      <c r="I4" s="10" t="s">
        <v>7</v>
      </c>
      <c r="J4" s="10" t="s">
        <v>40</v>
      </c>
      <c r="K4" s="10" t="s">
        <v>41</v>
      </c>
      <c r="L4" s="5"/>
      <c r="M4" s="5"/>
      <c r="N4" s="5"/>
      <c r="O4" s="5"/>
      <c r="P4" s="5"/>
    </row>
    <row r="5" spans="1:16" x14ac:dyDescent="0.75">
      <c r="A5" t="s">
        <v>34</v>
      </c>
      <c r="B5">
        <v>0.36299999999999999</v>
      </c>
      <c r="C5" t="s">
        <v>42</v>
      </c>
      <c r="D5" s="6" t="s">
        <v>43</v>
      </c>
      <c r="E5" t="s">
        <v>44</v>
      </c>
    </row>
    <row r="6" spans="1:16" x14ac:dyDescent="0.75">
      <c r="A6" t="s">
        <v>35</v>
      </c>
      <c r="B6">
        <v>0.24399000000000001</v>
      </c>
      <c r="C6" t="s">
        <v>45</v>
      </c>
      <c r="D6" t="s">
        <v>46</v>
      </c>
      <c r="E6" t="s">
        <v>47</v>
      </c>
      <c r="F6" t="s">
        <v>48</v>
      </c>
      <c r="H6">
        <v>7.7476000000000003E-2</v>
      </c>
      <c r="I6" t="s">
        <v>45</v>
      </c>
      <c r="J6" t="s">
        <v>46</v>
      </c>
      <c r="K6" t="s">
        <v>49</v>
      </c>
      <c r="L6" t="s">
        <v>48</v>
      </c>
    </row>
    <row r="7" spans="1:16" x14ac:dyDescent="0.75">
      <c r="A7" t="s">
        <v>244</v>
      </c>
      <c r="B7">
        <v>1.5416000000000001</v>
      </c>
      <c r="C7" t="s">
        <v>50</v>
      </c>
      <c r="D7" t="s">
        <v>46</v>
      </c>
      <c r="E7" t="s">
        <v>51</v>
      </c>
      <c r="F7" t="s">
        <v>48</v>
      </c>
    </row>
    <row r="8" spans="1:16" x14ac:dyDescent="0.75">
      <c r="A8" t="s">
        <v>52</v>
      </c>
      <c r="B8">
        <v>5.1510999999999996</v>
      </c>
      <c r="C8" t="s">
        <v>50</v>
      </c>
      <c r="D8" t="s">
        <v>46</v>
      </c>
      <c r="E8" t="s">
        <v>53</v>
      </c>
      <c r="F8" t="s">
        <v>48</v>
      </c>
    </row>
    <row r="9" spans="1:16" x14ac:dyDescent="0.75">
      <c r="A9" t="s">
        <v>301</v>
      </c>
      <c r="B9">
        <v>0.29304999999999998</v>
      </c>
      <c r="C9" t="s">
        <v>229</v>
      </c>
      <c r="D9" t="s">
        <v>46</v>
      </c>
      <c r="E9" t="s">
        <v>323</v>
      </c>
    </row>
    <row r="10" spans="1:16" x14ac:dyDescent="0.75">
      <c r="A10" t="s">
        <v>14</v>
      </c>
      <c r="B10">
        <v>4.7489999999999997E-2</v>
      </c>
      <c r="C10" t="s">
        <v>50</v>
      </c>
      <c r="D10" t="s">
        <v>46</v>
      </c>
      <c r="E10" t="s">
        <v>54</v>
      </c>
      <c r="F10" t="s">
        <v>48</v>
      </c>
      <c r="H10">
        <v>1.036</v>
      </c>
      <c r="I10" t="s">
        <v>55</v>
      </c>
      <c r="J10" s="6" t="s">
        <v>56</v>
      </c>
      <c r="K10" t="s">
        <v>57</v>
      </c>
    </row>
    <row r="11" spans="1:16" x14ac:dyDescent="0.75">
      <c r="A11" t="s">
        <v>15</v>
      </c>
      <c r="B11">
        <v>2.8471000000000002</v>
      </c>
      <c r="C11" t="s">
        <v>50</v>
      </c>
      <c r="D11" t="s">
        <v>46</v>
      </c>
      <c r="E11" t="s">
        <v>58</v>
      </c>
      <c r="F11" t="s">
        <v>48</v>
      </c>
    </row>
    <row r="12" spans="1:16" x14ac:dyDescent="0.75">
      <c r="A12" t="s">
        <v>59</v>
      </c>
      <c r="B12">
        <v>6.2132E-2</v>
      </c>
      <c r="C12" t="s">
        <v>50</v>
      </c>
      <c r="D12" t="s">
        <v>46</v>
      </c>
      <c r="E12" t="s">
        <v>60</v>
      </c>
      <c r="F12" t="s">
        <v>48</v>
      </c>
    </row>
    <row r="13" spans="1:16" x14ac:dyDescent="0.75">
      <c r="A13" t="s">
        <v>4</v>
      </c>
      <c r="B13">
        <v>3.3595000000000002</v>
      </c>
      <c r="C13" t="s">
        <v>50</v>
      </c>
      <c r="D13" t="s">
        <v>46</v>
      </c>
      <c r="E13" t="s">
        <v>61</v>
      </c>
      <c r="F13" t="s">
        <v>48</v>
      </c>
    </row>
    <row r="14" spans="1:16" x14ac:dyDescent="0.75">
      <c r="A14" t="s">
        <v>113</v>
      </c>
      <c r="B14">
        <v>0.63944000000000001</v>
      </c>
      <c r="C14" t="s">
        <v>45</v>
      </c>
      <c r="D14" t="s">
        <v>46</v>
      </c>
      <c r="E14" t="s">
        <v>62</v>
      </c>
      <c r="F14" t="s">
        <v>48</v>
      </c>
    </row>
    <row r="15" spans="1:16" x14ac:dyDescent="0.75">
      <c r="A15" t="s">
        <v>114</v>
      </c>
      <c r="B15">
        <v>2.5968559999999998</v>
      </c>
      <c r="C15" t="s">
        <v>45</v>
      </c>
      <c r="D15" t="s">
        <v>46</v>
      </c>
      <c r="E15" t="s">
        <v>115</v>
      </c>
    </row>
    <row r="16" spans="1:16" x14ac:dyDescent="0.75">
      <c r="A16" t="s">
        <v>36</v>
      </c>
      <c r="B16">
        <v>0.19761999999999999</v>
      </c>
      <c r="C16" t="s">
        <v>50</v>
      </c>
      <c r="D16" t="s">
        <v>46</v>
      </c>
      <c r="E16" t="s">
        <v>63</v>
      </c>
      <c r="F16" t="s">
        <v>48</v>
      </c>
      <c r="H16">
        <v>7.4899999999999994E-2</v>
      </c>
      <c r="I16" t="s">
        <v>50</v>
      </c>
      <c r="J16" s="6" t="s">
        <v>56</v>
      </c>
      <c r="K16" t="s">
        <v>64</v>
      </c>
    </row>
    <row r="17" spans="1:15" x14ac:dyDescent="0.75">
      <c r="A17" t="s">
        <v>37</v>
      </c>
      <c r="B17">
        <v>4.5742000000000003</v>
      </c>
      <c r="C17" t="s">
        <v>50</v>
      </c>
      <c r="D17" t="s">
        <v>46</v>
      </c>
      <c r="E17" t="s">
        <v>65</v>
      </c>
      <c r="F17" t="s">
        <v>48</v>
      </c>
      <c r="H17">
        <v>2.0299999999999998</v>
      </c>
      <c r="I17" t="s">
        <v>50</v>
      </c>
      <c r="J17" s="6" t="s">
        <v>56</v>
      </c>
      <c r="K17" s="8" t="s">
        <v>66</v>
      </c>
    </row>
    <row r="18" spans="1:15" x14ac:dyDescent="0.75">
      <c r="A18" t="s">
        <v>246</v>
      </c>
      <c r="B18" s="100">
        <v>4.9490999999999996</v>
      </c>
      <c r="C18" t="s">
        <v>50</v>
      </c>
      <c r="D18" t="s">
        <v>46</v>
      </c>
      <c r="E18" t="s">
        <v>268</v>
      </c>
      <c r="J18" s="6"/>
      <c r="K18" s="8"/>
    </row>
    <row r="19" spans="1:15" x14ac:dyDescent="0.75">
      <c r="A19" t="s">
        <v>67</v>
      </c>
      <c r="B19">
        <v>7.5907</v>
      </c>
      <c r="C19" t="s">
        <v>50</v>
      </c>
      <c r="D19" t="s">
        <v>46</v>
      </c>
      <c r="E19" t="s">
        <v>68</v>
      </c>
      <c r="F19" t="s">
        <v>48</v>
      </c>
      <c r="H19">
        <v>17.3</v>
      </c>
      <c r="I19" t="s">
        <v>50</v>
      </c>
      <c r="J19" s="6" t="s">
        <v>56</v>
      </c>
      <c r="K19" t="s">
        <v>69</v>
      </c>
      <c r="N19">
        <v>19.492999999999999</v>
      </c>
      <c r="O19" t="s">
        <v>70</v>
      </c>
    </row>
    <row r="20" spans="1:15" x14ac:dyDescent="0.75">
      <c r="A20" t="s">
        <v>71</v>
      </c>
      <c r="B20">
        <v>1.0824</v>
      </c>
      <c r="C20" t="s">
        <v>50</v>
      </c>
      <c r="D20" t="s">
        <v>46</v>
      </c>
      <c r="E20" t="s">
        <v>72</v>
      </c>
      <c r="F20" t="s">
        <v>48</v>
      </c>
    </row>
    <row r="21" spans="1:15" x14ac:dyDescent="0.75">
      <c r="A21" t="s">
        <v>73</v>
      </c>
      <c r="B21">
        <v>0.25045000000000001</v>
      </c>
      <c r="C21" t="s">
        <v>50</v>
      </c>
      <c r="D21" t="s">
        <v>46</v>
      </c>
      <c r="E21" t="s">
        <v>74</v>
      </c>
      <c r="F21" t="s">
        <v>48</v>
      </c>
    </row>
    <row r="22" spans="1:15" x14ac:dyDescent="0.75">
      <c r="A22" t="s">
        <v>75</v>
      </c>
      <c r="B22">
        <v>2.3275999999999999</v>
      </c>
      <c r="C22" t="s">
        <v>50</v>
      </c>
      <c r="D22" t="s">
        <v>46</v>
      </c>
      <c r="E22" t="s">
        <v>76</v>
      </c>
      <c r="F22" t="s">
        <v>48</v>
      </c>
      <c r="H22">
        <v>0.73692999999999997</v>
      </c>
      <c r="I22" t="s">
        <v>50</v>
      </c>
      <c r="J22" t="s">
        <v>46</v>
      </c>
      <c r="K22" t="s">
        <v>77</v>
      </c>
      <c r="N22">
        <v>2.9079999999999999</v>
      </c>
      <c r="O22" t="s">
        <v>78</v>
      </c>
    </row>
    <row r="23" spans="1:15" x14ac:dyDescent="0.75">
      <c r="A23" t="s">
        <v>79</v>
      </c>
      <c r="B23">
        <v>4.3345999999999999E-4</v>
      </c>
      <c r="C23" t="s">
        <v>50</v>
      </c>
      <c r="D23" t="s">
        <v>46</v>
      </c>
      <c r="E23" t="s">
        <v>80</v>
      </c>
      <c r="F23" t="s">
        <v>48</v>
      </c>
    </row>
    <row r="24" spans="1:15" x14ac:dyDescent="0.75">
      <c r="A24" t="s">
        <v>270</v>
      </c>
      <c r="B24">
        <v>0.31935000000000002</v>
      </c>
      <c r="C24" t="s">
        <v>45</v>
      </c>
      <c r="D24" t="s">
        <v>46</v>
      </c>
      <c r="E24" t="s">
        <v>271</v>
      </c>
    </row>
    <row r="25" spans="1:15" x14ac:dyDescent="0.75">
      <c r="A25" t="s">
        <v>11</v>
      </c>
      <c r="B25">
        <v>1.1412</v>
      </c>
      <c r="C25" t="s">
        <v>229</v>
      </c>
      <c r="D25" t="s">
        <v>46</v>
      </c>
      <c r="E25" t="s">
        <v>235</v>
      </c>
    </row>
    <row r="26" spans="1:15" x14ac:dyDescent="0.75">
      <c r="A26" s="79" t="s">
        <v>201</v>
      </c>
      <c r="B26" s="80">
        <v>0.35743999999999998</v>
      </c>
      <c r="C26" s="79" t="s">
        <v>213</v>
      </c>
      <c r="D26" t="s">
        <v>46</v>
      </c>
      <c r="E26" s="79" t="s">
        <v>215</v>
      </c>
    </row>
    <row r="27" spans="1:15" x14ac:dyDescent="0.75">
      <c r="A27" s="79" t="s">
        <v>202</v>
      </c>
      <c r="B27" s="46">
        <v>1.1790999999999999E-2</v>
      </c>
      <c r="C27" s="79" t="s">
        <v>214</v>
      </c>
      <c r="D27" t="s">
        <v>46</v>
      </c>
      <c r="E27" s="79" t="s">
        <v>216</v>
      </c>
    </row>
    <row r="28" spans="1:15" x14ac:dyDescent="0.75">
      <c r="A28" s="79" t="s">
        <v>203</v>
      </c>
      <c r="B28" s="80">
        <v>6.0212000000000002E-2</v>
      </c>
      <c r="C28" s="79" t="s">
        <v>214</v>
      </c>
      <c r="D28" t="s">
        <v>46</v>
      </c>
      <c r="E28" t="s">
        <v>217</v>
      </c>
    </row>
    <row r="29" spans="1:15" x14ac:dyDescent="0.75">
      <c r="A29" s="79" t="s">
        <v>204</v>
      </c>
      <c r="B29" s="80">
        <v>8.8291999999999995E-2</v>
      </c>
      <c r="C29" s="79" t="s">
        <v>214</v>
      </c>
      <c r="D29" t="s">
        <v>46</v>
      </c>
      <c r="E29" t="s">
        <v>218</v>
      </c>
    </row>
    <row r="30" spans="1:15" x14ac:dyDescent="0.75">
      <c r="A30" s="79" t="s">
        <v>205</v>
      </c>
      <c r="B30" s="80">
        <v>0</v>
      </c>
      <c r="C30" s="79" t="s">
        <v>213</v>
      </c>
      <c r="D30" t="s">
        <v>46</v>
      </c>
      <c r="E30" s="43" t="s">
        <v>44</v>
      </c>
    </row>
    <row r="31" spans="1:15" x14ac:dyDescent="0.75">
      <c r="A31" s="79" t="s">
        <v>206</v>
      </c>
      <c r="B31" s="80">
        <v>5.3696000000000001E-2</v>
      </c>
      <c r="C31" s="79" t="s">
        <v>213</v>
      </c>
      <c r="D31" t="s">
        <v>46</v>
      </c>
      <c r="E31" s="79" t="s">
        <v>219</v>
      </c>
    </row>
    <row r="32" spans="1:15" x14ac:dyDescent="0.75">
      <c r="A32" s="79" t="s">
        <v>207</v>
      </c>
      <c r="B32" s="80">
        <v>6.6286999999999999E-2</v>
      </c>
      <c r="C32" s="79" t="s">
        <v>214</v>
      </c>
      <c r="D32" t="s">
        <v>46</v>
      </c>
      <c r="E32" t="s">
        <v>220</v>
      </c>
    </row>
    <row r="33" spans="1:6" x14ac:dyDescent="0.75">
      <c r="A33" s="79" t="s">
        <v>208</v>
      </c>
      <c r="B33" s="80">
        <v>5.2297000000000003E-2</v>
      </c>
      <c r="C33" s="79" t="s">
        <v>214</v>
      </c>
      <c r="D33" t="s">
        <v>46</v>
      </c>
      <c r="E33" t="s">
        <v>221</v>
      </c>
    </row>
    <row r="34" spans="1:6" x14ac:dyDescent="0.75">
      <c r="A34" s="79" t="s">
        <v>209</v>
      </c>
      <c r="B34" s="80">
        <v>0.10707999999999999</v>
      </c>
      <c r="C34" s="79" t="s">
        <v>214</v>
      </c>
      <c r="D34" t="s">
        <v>46</v>
      </c>
      <c r="E34" s="79" t="s">
        <v>222</v>
      </c>
    </row>
    <row r="35" spans="1:6" x14ac:dyDescent="0.75">
      <c r="A35" s="79" t="s">
        <v>210</v>
      </c>
      <c r="B35" s="80">
        <v>0.10906</v>
      </c>
      <c r="C35" s="79" t="s">
        <v>214</v>
      </c>
      <c r="D35" t="s">
        <v>46</v>
      </c>
      <c r="E35" t="s">
        <v>223</v>
      </c>
    </row>
    <row r="36" spans="1:6" x14ac:dyDescent="0.75">
      <c r="A36" s="79" t="s">
        <v>211</v>
      </c>
      <c r="B36" s="80">
        <v>0.13250999999999999</v>
      </c>
      <c r="C36" s="79" t="s">
        <v>214</v>
      </c>
      <c r="D36" t="s">
        <v>46</v>
      </c>
      <c r="E36" t="s">
        <v>224</v>
      </c>
    </row>
    <row r="37" spans="1:6" x14ac:dyDescent="0.75">
      <c r="A37" s="79" t="s">
        <v>212</v>
      </c>
      <c r="B37" s="80">
        <v>0.17269999999999999</v>
      </c>
      <c r="C37" s="79" t="s">
        <v>214</v>
      </c>
      <c r="D37" t="s">
        <v>46</v>
      </c>
      <c r="E37" s="79" t="s">
        <v>225</v>
      </c>
    </row>
    <row r="38" spans="1:6" s="108" customFormat="1" x14ac:dyDescent="0.75">
      <c r="A38" s="106" t="s">
        <v>228</v>
      </c>
      <c r="B38" s="107">
        <v>17.71</v>
      </c>
      <c r="C38" s="106" t="s">
        <v>229</v>
      </c>
      <c r="D38" s="108" t="s">
        <v>46</v>
      </c>
      <c r="E38" s="108" t="s">
        <v>230</v>
      </c>
    </row>
    <row r="39" spans="1:6" x14ac:dyDescent="0.75">
      <c r="A39" s="79" t="s">
        <v>249</v>
      </c>
      <c r="B39">
        <v>5.3999999999999999E-2</v>
      </c>
      <c r="C39" s="79" t="s">
        <v>250</v>
      </c>
      <c r="D39" t="s">
        <v>46</v>
      </c>
    </row>
    <row r="40" spans="1:6" x14ac:dyDescent="0.75">
      <c r="A40" s="79" t="s">
        <v>272</v>
      </c>
      <c r="B40" s="80">
        <v>2.0295000000000001</v>
      </c>
      <c r="C40" s="106" t="s">
        <v>229</v>
      </c>
      <c r="D40" t="s">
        <v>46</v>
      </c>
      <c r="E40" t="s">
        <v>276</v>
      </c>
    </row>
    <row r="41" spans="1:6" x14ac:dyDescent="0.75">
      <c r="A41" s="79" t="s">
        <v>278</v>
      </c>
      <c r="B41" s="80">
        <v>4.0641999999999996</v>
      </c>
      <c r="C41" s="106" t="s">
        <v>229</v>
      </c>
      <c r="D41" t="s">
        <v>46</v>
      </c>
      <c r="E41" t="s">
        <v>277</v>
      </c>
      <c r="F41" t="s">
        <v>279</v>
      </c>
    </row>
    <row r="42" spans="1:6" x14ac:dyDescent="0.75">
      <c r="A42" t="s">
        <v>324</v>
      </c>
      <c r="B42">
        <v>0.15328</v>
      </c>
      <c r="C42" t="s">
        <v>312</v>
      </c>
      <c r="D42" t="s">
        <v>46</v>
      </c>
      <c r="E42" t="s">
        <v>314</v>
      </c>
    </row>
    <row r="43" spans="1:6" ht="16.75" x14ac:dyDescent="0.95">
      <c r="A43" s="79" t="s">
        <v>353</v>
      </c>
      <c r="B43">
        <v>11.1268086885097</v>
      </c>
      <c r="C43" s="106" t="s">
        <v>229</v>
      </c>
      <c r="D43" t="s">
        <v>46</v>
      </c>
      <c r="E43" s="117" t="s">
        <v>352</v>
      </c>
    </row>
    <row r="44" spans="1:6" ht="16.75" x14ac:dyDescent="0.95">
      <c r="A44" s="79" t="s">
        <v>354</v>
      </c>
      <c r="B44">
        <v>5.62595871875864</v>
      </c>
      <c r="C44" s="106" t="s">
        <v>360</v>
      </c>
      <c r="D44" t="s">
        <v>46</v>
      </c>
      <c r="E44" s="117" t="s">
        <v>355</v>
      </c>
    </row>
    <row r="45" spans="1:6" x14ac:dyDescent="0.75">
      <c r="A45" s="79" t="s">
        <v>361</v>
      </c>
      <c r="B45">
        <v>171.35713348050601</v>
      </c>
      <c r="C45" s="106" t="s">
        <v>229</v>
      </c>
      <c r="D45" t="s">
        <v>46</v>
      </c>
      <c r="E45" t="s">
        <v>359</v>
      </c>
    </row>
  </sheetData>
  <mergeCells count="2">
    <mergeCell ref="B3:E3"/>
    <mergeCell ref="H3:K3"/>
  </mergeCells>
  <hyperlinks>
    <hyperlink ref="D5" r:id="rId1" xr:uid="{A985CF8D-42DA-4E38-B3AC-E18756B9659A}"/>
    <hyperlink ref="J19" r:id="rId2" xr:uid="{1D587BEC-9924-4BCC-AD90-F829730B6F2F}"/>
    <hyperlink ref="J10" r:id="rId3" xr:uid="{8E4B09CC-C47E-4338-A121-BDEDEADF9C27}"/>
    <hyperlink ref="J16" r:id="rId4" xr:uid="{929C5249-D39F-4F92-9E67-4C98EAEE6708}"/>
    <hyperlink ref="J17" r:id="rId5" xr:uid="{664B2037-FFAF-422D-93D7-58DBDE727D4D}"/>
  </hyperlinks>
  <pageMargins left="0.7" right="0.7" top="0.78740157499999996" bottom="0.78740157499999996" header="0.3" footer="0.3"/>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4C95-4991-4090-804D-07AD3619BF0D}">
  <dimension ref="A1:K22"/>
  <sheetViews>
    <sheetView topLeftCell="A9" workbookViewId="0">
      <selection activeCell="B13" sqref="B13:D17"/>
    </sheetView>
  </sheetViews>
  <sheetFormatPr baseColWidth="10" defaultRowHeight="14.75" x14ac:dyDescent="0.75"/>
  <cols>
    <col min="2" max="2" width="26.40625" bestFit="1" customWidth="1"/>
    <col min="4" max="4" width="68.54296875" bestFit="1" customWidth="1"/>
    <col min="6" max="6" width="100.1328125" bestFit="1" customWidth="1"/>
    <col min="7" max="8" width="24" bestFit="1" customWidth="1"/>
    <col min="9" max="9" width="13.40625" customWidth="1"/>
    <col min="10" max="10" width="1.1328125" customWidth="1"/>
    <col min="11" max="11" width="12.40625" bestFit="1" customWidth="1"/>
  </cols>
  <sheetData>
    <row r="1" spans="1:11" x14ac:dyDescent="0.75">
      <c r="A1" s="111" t="s">
        <v>292</v>
      </c>
    </row>
    <row r="2" spans="1:11" x14ac:dyDescent="0.75">
      <c r="A2" s="112" t="s">
        <v>293</v>
      </c>
    </row>
    <row r="3" spans="1:11" x14ac:dyDescent="0.75">
      <c r="A3" s="112" t="s">
        <v>294</v>
      </c>
    </row>
    <row r="4" spans="1:11" x14ac:dyDescent="0.75">
      <c r="A4" s="8"/>
    </row>
    <row r="5" spans="1:11" x14ac:dyDescent="0.75">
      <c r="A5" s="111" t="s">
        <v>295</v>
      </c>
    </row>
    <row r="6" spans="1:11" x14ac:dyDescent="0.75">
      <c r="A6" s="112" t="s">
        <v>296</v>
      </c>
    </row>
    <row r="7" spans="1:11" x14ac:dyDescent="0.75">
      <c r="A7" s="112" t="s">
        <v>297</v>
      </c>
    </row>
    <row r="8" spans="1:11" x14ac:dyDescent="0.75">
      <c r="A8" s="112" t="s">
        <v>298</v>
      </c>
    </row>
    <row r="9" spans="1:11" x14ac:dyDescent="0.75">
      <c r="A9" s="8"/>
    </row>
    <row r="10" spans="1:11" x14ac:dyDescent="0.75">
      <c r="A10" s="111" t="s">
        <v>299</v>
      </c>
    </row>
    <row r="13" spans="1:11" x14ac:dyDescent="0.75">
      <c r="B13" s="55" t="s">
        <v>300</v>
      </c>
      <c r="C13" s="55" t="s">
        <v>304</v>
      </c>
      <c r="D13" s="55" t="s">
        <v>305</v>
      </c>
      <c r="E13" s="55" t="s">
        <v>307</v>
      </c>
      <c r="F13" s="55" t="s">
        <v>30</v>
      </c>
      <c r="G13" s="55" t="s">
        <v>313</v>
      </c>
      <c r="H13" s="55" t="s">
        <v>311</v>
      </c>
      <c r="I13" s="55" t="s">
        <v>315</v>
      </c>
      <c r="K13" s="55" t="s">
        <v>325</v>
      </c>
    </row>
    <row r="14" spans="1:11" x14ac:dyDescent="0.75">
      <c r="B14" t="s">
        <v>327</v>
      </c>
      <c r="C14" t="s">
        <v>306</v>
      </c>
      <c r="D14" t="s">
        <v>308</v>
      </c>
      <c r="E14">
        <v>5.3</v>
      </c>
      <c r="F14" t="s">
        <v>314</v>
      </c>
      <c r="G14">
        <v>0.15328</v>
      </c>
      <c r="H14" t="s">
        <v>312</v>
      </c>
      <c r="I14" s="115">
        <f>Zusammenfassung!C21/1000</f>
        <v>2.2200000000000001E-2</v>
      </c>
      <c r="K14" s="116">
        <f>G14*I14*E14</f>
        <v>1.8034924800000001E-2</v>
      </c>
    </row>
    <row r="15" spans="1:11" x14ac:dyDescent="0.75">
      <c r="B15" t="s">
        <v>302</v>
      </c>
      <c r="C15" t="s">
        <v>306</v>
      </c>
      <c r="D15" t="s">
        <v>309</v>
      </c>
      <c r="E15">
        <v>63.2</v>
      </c>
      <c r="F15" t="s">
        <v>314</v>
      </c>
      <c r="G15">
        <v>0.15328</v>
      </c>
      <c r="H15" t="s">
        <v>312</v>
      </c>
      <c r="I15" s="115">
        <f>Zusammenfassung!C24/1000</f>
        <v>7.4999999999999993E-5</v>
      </c>
      <c r="K15" s="116">
        <f>G15*I15*E15</f>
        <v>7.2654719999999998E-4</v>
      </c>
    </row>
    <row r="16" spans="1:11" x14ac:dyDescent="0.75">
      <c r="B16" t="s">
        <v>303</v>
      </c>
      <c r="C16" t="s">
        <v>306</v>
      </c>
      <c r="D16" t="s">
        <v>310</v>
      </c>
      <c r="E16">
        <v>19.899999999999999</v>
      </c>
      <c r="F16" t="s">
        <v>314</v>
      </c>
      <c r="G16">
        <v>0.15328</v>
      </c>
      <c r="H16" t="s">
        <v>312</v>
      </c>
      <c r="I16" s="115">
        <f>(Zusammenfassung!C22+Zusammenfassung!C23)/1000</f>
        <v>0.81899999999999995</v>
      </c>
      <c r="K16" s="116">
        <f>G16*I16*E16</f>
        <v>2.4981727679999994</v>
      </c>
    </row>
    <row r="17" spans="1:11" x14ac:dyDescent="0.75">
      <c r="B17" t="s">
        <v>328</v>
      </c>
      <c r="C17" t="s">
        <v>306</v>
      </c>
      <c r="D17" t="s">
        <v>308</v>
      </c>
      <c r="E17">
        <v>5.3</v>
      </c>
      <c r="F17" t="s">
        <v>314</v>
      </c>
      <c r="G17">
        <v>0.15328</v>
      </c>
      <c r="H17" t="s">
        <v>312</v>
      </c>
      <c r="I17" s="115">
        <f>Zusammenfassung!C30/1000</f>
        <v>1.1139500000000002E-2</v>
      </c>
      <c r="K17" s="116">
        <f>G17*I17*E17</f>
        <v>9.0495515680000006E-3</v>
      </c>
    </row>
    <row r="19" spans="1:11" s="55" customFormat="1" x14ac:dyDescent="0.75">
      <c r="B19" s="55" t="s">
        <v>316</v>
      </c>
      <c r="D19" s="61" t="s">
        <v>317</v>
      </c>
      <c r="E19" s="55" t="s">
        <v>313</v>
      </c>
      <c r="F19" s="55" t="s">
        <v>311</v>
      </c>
    </row>
    <row r="20" spans="1:11" x14ac:dyDescent="0.75">
      <c r="B20" t="s">
        <v>301</v>
      </c>
      <c r="D20" t="s">
        <v>318</v>
      </c>
      <c r="E20">
        <v>4.7489999999999997E-2</v>
      </c>
      <c r="F20" t="s">
        <v>229</v>
      </c>
    </row>
    <row r="21" spans="1:11" x14ac:dyDescent="0.75">
      <c r="A21" t="s">
        <v>320</v>
      </c>
      <c r="B21" s="56" t="s">
        <v>302</v>
      </c>
      <c r="C21" s="56"/>
      <c r="D21" s="56" t="s">
        <v>318</v>
      </c>
      <c r="E21" s="56">
        <v>4.7489999999999997E-2</v>
      </c>
      <c r="F21" t="s">
        <v>229</v>
      </c>
    </row>
    <row r="22" spans="1:11" x14ac:dyDescent="0.75">
      <c r="B22" t="s">
        <v>303</v>
      </c>
      <c r="D22" t="s">
        <v>319</v>
      </c>
      <c r="E22">
        <v>2.4735</v>
      </c>
      <c r="F22" t="s">
        <v>229</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1FB25-03DA-4953-AE47-946A92169D93}">
  <dimension ref="A1:V42"/>
  <sheetViews>
    <sheetView topLeftCell="XFD1" workbookViewId="0">
      <selection activeCell="XFD8" sqref="XFD8"/>
    </sheetView>
  </sheetViews>
  <sheetFormatPr baseColWidth="10" defaultColWidth="0" defaultRowHeight="14.75" x14ac:dyDescent="0.75"/>
  <cols>
    <col min="1" max="1" width="28.26953125" hidden="1" customWidth="1"/>
    <col min="2" max="2" width="16.7265625" hidden="1" customWidth="1"/>
    <col min="3" max="4" width="16.26953125" hidden="1" customWidth="1"/>
    <col min="5" max="5" width="17.7265625" hidden="1" customWidth="1"/>
    <col min="6" max="6" width="11.7265625" hidden="1" customWidth="1"/>
    <col min="7" max="7" width="13.40625" hidden="1" customWidth="1"/>
    <col min="8" max="8" width="8.7265625" hidden="1" customWidth="1"/>
    <col min="9" max="9" width="14.26953125" hidden="1" customWidth="1"/>
    <col min="10" max="14" width="8.7265625" hidden="1" customWidth="1"/>
    <col min="15" max="15" width="20.40625" hidden="1" customWidth="1"/>
    <col min="16" max="16" width="17.7265625" hidden="1" customWidth="1"/>
    <col min="17" max="17" width="13.40625" hidden="1" customWidth="1"/>
    <col min="18" max="18" width="13.26953125" hidden="1" customWidth="1"/>
    <col min="19" max="22" width="0" hidden="1" customWidth="1"/>
    <col min="23" max="16384" width="8.7265625" hidden="1"/>
  </cols>
  <sheetData>
    <row r="1" spans="1:22" ht="30.75" customHeight="1" x14ac:dyDescent="1">
      <c r="A1" s="63" t="s">
        <v>164</v>
      </c>
      <c r="B1" s="62"/>
      <c r="C1" s="62"/>
      <c r="D1" s="62"/>
      <c r="E1" s="62"/>
      <c r="F1" s="62"/>
      <c r="G1" s="62"/>
      <c r="H1" s="62"/>
      <c r="I1" s="62"/>
      <c r="J1" s="62"/>
      <c r="K1" s="62"/>
      <c r="L1" s="62"/>
      <c r="M1" s="62"/>
      <c r="N1" s="62"/>
      <c r="O1" s="62"/>
      <c r="P1" s="62"/>
      <c r="Q1" s="62"/>
      <c r="R1" s="62"/>
      <c r="S1" s="62"/>
      <c r="T1" s="62"/>
      <c r="U1" s="62"/>
      <c r="V1" s="62"/>
    </row>
    <row r="2" spans="1:22" ht="35.65" customHeight="1" x14ac:dyDescent="0.75">
      <c r="A2" s="55" t="s">
        <v>141</v>
      </c>
      <c r="B2" s="55" t="s">
        <v>140</v>
      </c>
      <c r="C2" s="55" t="s">
        <v>7</v>
      </c>
      <c r="D2" s="55" t="s">
        <v>139</v>
      </c>
      <c r="E2" s="55" t="s">
        <v>138</v>
      </c>
      <c r="P2" s="61" t="s">
        <v>163</v>
      </c>
      <c r="Q2" s="61" t="s">
        <v>162</v>
      </c>
      <c r="R2" s="61" t="s">
        <v>161</v>
      </c>
    </row>
    <row r="3" spans="1:22" x14ac:dyDescent="0.75">
      <c r="A3" t="s">
        <v>160</v>
      </c>
      <c r="B3" s="52">
        <v>28</v>
      </c>
      <c r="C3" t="s">
        <v>159</v>
      </c>
      <c r="D3" t="s">
        <v>158</v>
      </c>
      <c r="O3" s="55" t="s">
        <v>157</v>
      </c>
      <c r="P3" s="59">
        <f>B4-B5-B6</f>
        <v>207</v>
      </c>
      <c r="Q3" s="59">
        <f>ROUND(P3*(1-B7),0)</f>
        <v>124</v>
      </c>
      <c r="R3" s="59">
        <f>ROUND(P3*B7,0)</f>
        <v>83</v>
      </c>
    </row>
    <row r="4" spans="1:22" x14ac:dyDescent="0.75">
      <c r="A4" t="s">
        <v>156</v>
      </c>
      <c r="B4" s="52">
        <v>252</v>
      </c>
      <c r="C4" t="s">
        <v>148</v>
      </c>
      <c r="D4" t="s">
        <v>155</v>
      </c>
      <c r="E4" s="3" t="s">
        <v>154</v>
      </c>
      <c r="O4" s="55" t="s">
        <v>153</v>
      </c>
      <c r="P4" s="59">
        <f>P3*$B$3</f>
        <v>5796</v>
      </c>
      <c r="Q4" s="59">
        <f>Q3*$B$3</f>
        <v>3472</v>
      </c>
      <c r="R4" s="59">
        <f>R3*$B$3</f>
        <v>2324</v>
      </c>
    </row>
    <row r="5" spans="1:22" x14ac:dyDescent="0.75">
      <c r="A5" t="s">
        <v>152</v>
      </c>
      <c r="B5" s="52">
        <v>30</v>
      </c>
      <c r="C5" t="s">
        <v>148</v>
      </c>
      <c r="D5" t="s">
        <v>151</v>
      </c>
      <c r="O5" s="55" t="s">
        <v>150</v>
      </c>
      <c r="P5" s="59">
        <f>P4*8</f>
        <v>46368</v>
      </c>
      <c r="Q5" s="59">
        <f>Q4*8</f>
        <v>27776</v>
      </c>
      <c r="R5" s="59">
        <f>R4*8</f>
        <v>18592</v>
      </c>
    </row>
    <row r="6" spans="1:22" x14ac:dyDescent="0.75">
      <c r="A6" t="s">
        <v>149</v>
      </c>
      <c r="B6" s="52">
        <v>15</v>
      </c>
      <c r="C6" t="s">
        <v>148</v>
      </c>
      <c r="D6" t="s">
        <v>147</v>
      </c>
      <c r="E6" s="60" t="s">
        <v>146</v>
      </c>
      <c r="O6" s="55"/>
      <c r="P6" s="59"/>
      <c r="Q6" s="59"/>
      <c r="R6" s="59"/>
    </row>
    <row r="7" spans="1:22" x14ac:dyDescent="0.75">
      <c r="A7" t="s">
        <v>145</v>
      </c>
      <c r="B7" s="58">
        <f>2/5</f>
        <v>0.4</v>
      </c>
      <c r="C7" t="s">
        <v>144</v>
      </c>
      <c r="D7" t="s">
        <v>143</v>
      </c>
    </row>
    <row r="11" spans="1:22" ht="39.4" customHeight="1" x14ac:dyDescent="1">
      <c r="A11" s="57" t="s">
        <v>142</v>
      </c>
      <c r="B11" s="56"/>
      <c r="C11" s="56"/>
      <c r="D11" s="56"/>
      <c r="E11" s="56"/>
      <c r="F11" s="56"/>
      <c r="G11" s="56"/>
      <c r="H11" s="56"/>
      <c r="I11" s="56"/>
      <c r="J11" s="56"/>
      <c r="K11" s="56"/>
      <c r="L11" s="56"/>
      <c r="M11" s="56"/>
      <c r="N11" s="56"/>
      <c r="O11" s="56"/>
      <c r="P11" s="56"/>
      <c r="Q11" s="56"/>
      <c r="R11" s="56"/>
      <c r="S11" s="56"/>
      <c r="T11" s="56"/>
      <c r="U11" s="56"/>
      <c r="V11" s="56"/>
    </row>
    <row r="12" spans="1:22" x14ac:dyDescent="0.75">
      <c r="A12" s="55" t="s">
        <v>141</v>
      </c>
      <c r="B12" s="55" t="s">
        <v>140</v>
      </c>
      <c r="C12" s="55" t="s">
        <v>7</v>
      </c>
      <c r="D12" s="55" t="s">
        <v>139</v>
      </c>
      <c r="E12" s="55" t="s">
        <v>138</v>
      </c>
    </row>
    <row r="13" spans="1:22" x14ac:dyDescent="0.75">
      <c r="A13" t="s">
        <v>137</v>
      </c>
      <c r="B13" s="52">
        <v>365</v>
      </c>
      <c r="C13" t="s">
        <v>136</v>
      </c>
      <c r="D13" s="55"/>
      <c r="E13" s="55"/>
    </row>
    <row r="14" spans="1:22" x14ac:dyDescent="0.75">
      <c r="A14" t="s">
        <v>135</v>
      </c>
      <c r="B14" s="52">
        <v>17</v>
      </c>
      <c r="C14" t="s">
        <v>134</v>
      </c>
      <c r="D14" t="s">
        <v>133</v>
      </c>
    </row>
    <row r="15" spans="1:22" x14ac:dyDescent="0.75">
      <c r="A15" t="s">
        <v>132</v>
      </c>
      <c r="B15" s="54">
        <f>ROUND(B13/7*B14,0)</f>
        <v>886</v>
      </c>
      <c r="C15" t="s">
        <v>131</v>
      </c>
    </row>
    <row r="16" spans="1:22" x14ac:dyDescent="0.75">
      <c r="A16" t="s">
        <v>130</v>
      </c>
      <c r="B16" s="52">
        <v>8</v>
      </c>
      <c r="C16" t="s">
        <v>129</v>
      </c>
    </row>
    <row r="17" spans="1:21" x14ac:dyDescent="0.75">
      <c r="A17" t="s">
        <v>128</v>
      </c>
      <c r="B17" s="54">
        <f>B15*B16</f>
        <v>7088</v>
      </c>
      <c r="C17" t="s">
        <v>127</v>
      </c>
    </row>
    <row r="18" spans="1:21" x14ac:dyDescent="0.75">
      <c r="A18" t="s">
        <v>126</v>
      </c>
      <c r="B18" s="52">
        <v>5</v>
      </c>
      <c r="C18" t="s">
        <v>125</v>
      </c>
      <c r="D18" t="s">
        <v>124</v>
      </c>
    </row>
    <row r="19" spans="1:21" x14ac:dyDescent="0.75">
      <c r="A19" t="s">
        <v>123</v>
      </c>
      <c r="B19" s="52">
        <v>52</v>
      </c>
      <c r="C19" t="s">
        <v>122</v>
      </c>
      <c r="D19" t="s">
        <v>121</v>
      </c>
    </row>
    <row r="20" spans="1:21" x14ac:dyDescent="0.75">
      <c r="A20" t="s">
        <v>120</v>
      </c>
      <c r="B20" s="54">
        <f>B19*B15</f>
        <v>46072</v>
      </c>
      <c r="C20" t="s">
        <v>119</v>
      </c>
    </row>
    <row r="21" spans="1:21" x14ac:dyDescent="0.75">
      <c r="B21" s="52"/>
    </row>
    <row r="23" spans="1:21" ht="33.950000000000003" customHeight="1" x14ac:dyDescent="1">
      <c r="A23" s="57" t="s">
        <v>118</v>
      </c>
      <c r="B23" s="56"/>
      <c r="C23" s="56"/>
      <c r="D23" s="56"/>
      <c r="E23" s="56"/>
      <c r="F23" s="56"/>
      <c r="G23" s="56"/>
      <c r="H23" s="56"/>
      <c r="I23" s="56"/>
      <c r="J23" s="56"/>
      <c r="K23" s="56"/>
      <c r="L23" s="56"/>
      <c r="M23" s="56"/>
      <c r="N23" s="56"/>
      <c r="O23" s="56"/>
      <c r="P23" s="56"/>
      <c r="Q23" s="56"/>
      <c r="R23" s="56"/>
      <c r="S23" s="56"/>
      <c r="T23" s="56"/>
      <c r="U23" s="53"/>
    </row>
    <row r="24" spans="1:21" x14ac:dyDescent="0.75">
      <c r="B24" t="s">
        <v>180</v>
      </c>
      <c r="C24" t="s">
        <v>181</v>
      </c>
      <c r="D24" t="s">
        <v>167</v>
      </c>
      <c r="E24" t="s">
        <v>168</v>
      </c>
      <c r="F24" t="s">
        <v>169</v>
      </c>
      <c r="G24" t="s">
        <v>7</v>
      </c>
      <c r="H24" t="s">
        <v>138</v>
      </c>
    </row>
    <row r="25" spans="1:21" x14ac:dyDescent="0.75">
      <c r="A25" t="s">
        <v>170</v>
      </c>
      <c r="B25" s="67">
        <v>1</v>
      </c>
      <c r="C25" s="67">
        <v>1</v>
      </c>
      <c r="D25" s="67">
        <v>42</v>
      </c>
      <c r="E25" s="67">
        <v>42</v>
      </c>
      <c r="F25" s="67">
        <v>64</v>
      </c>
      <c r="G25" s="7" t="s">
        <v>117</v>
      </c>
    </row>
    <row r="26" spans="1:21" x14ac:dyDescent="0.75">
      <c r="A26" t="s">
        <v>172</v>
      </c>
      <c r="B26" s="67">
        <v>6.33</v>
      </c>
      <c r="C26" s="67">
        <v>3.78</v>
      </c>
      <c r="D26" s="67">
        <v>10.3</v>
      </c>
      <c r="E26" s="67">
        <v>10.3</v>
      </c>
      <c r="F26" s="67">
        <v>480</v>
      </c>
      <c r="G26" t="s">
        <v>179</v>
      </c>
      <c r="H26" t="s">
        <v>189</v>
      </c>
    </row>
    <row r="27" spans="1:21" x14ac:dyDescent="0.75">
      <c r="A27" t="s">
        <v>185</v>
      </c>
      <c r="B27" s="67">
        <f>$B$19</f>
        <v>52</v>
      </c>
      <c r="C27" s="67">
        <f>$B$19</f>
        <v>52</v>
      </c>
      <c r="D27" s="67">
        <v>2</v>
      </c>
      <c r="E27" s="67">
        <v>2</v>
      </c>
      <c r="F27" s="67">
        <v>1</v>
      </c>
      <c r="H27" t="s">
        <v>190</v>
      </c>
      <c r="N27" s="76"/>
    </row>
    <row r="28" spans="1:21" x14ac:dyDescent="0.75">
      <c r="A28" t="s">
        <v>187</v>
      </c>
      <c r="B28" s="67">
        <v>0</v>
      </c>
      <c r="C28" s="67">
        <v>0</v>
      </c>
      <c r="D28" s="67">
        <v>0.75</v>
      </c>
      <c r="E28" s="67">
        <v>0.75</v>
      </c>
      <c r="F28" s="67" t="s">
        <v>44</v>
      </c>
      <c r="G28" t="s">
        <v>171</v>
      </c>
      <c r="H28" t="s">
        <v>191</v>
      </c>
      <c r="N28" s="76"/>
    </row>
    <row r="29" spans="1:21" x14ac:dyDescent="0.75">
      <c r="A29" t="s">
        <v>186</v>
      </c>
      <c r="B29" s="74">
        <f>(B26*B27/60)</f>
        <v>5.4860000000000007</v>
      </c>
      <c r="C29" s="74">
        <f t="shared" ref="C29:E29" si="0">(C26*C27/60)</f>
        <v>3.2760000000000002</v>
      </c>
      <c r="D29" s="74">
        <f t="shared" si="0"/>
        <v>0.34333333333333338</v>
      </c>
      <c r="E29" s="74">
        <f t="shared" si="0"/>
        <v>0.34333333333333338</v>
      </c>
      <c r="F29" s="74" t="s">
        <v>44</v>
      </c>
      <c r="G29" t="s">
        <v>171</v>
      </c>
      <c r="H29" t="s">
        <v>189</v>
      </c>
      <c r="N29" s="76"/>
    </row>
    <row r="30" spans="1:21" x14ac:dyDescent="0.75">
      <c r="A30" t="s">
        <v>173</v>
      </c>
      <c r="B30" s="72">
        <f>B29/$B$16</f>
        <v>0.68575000000000008</v>
      </c>
      <c r="C30" s="72">
        <f>C29/$B$16</f>
        <v>0.40950000000000003</v>
      </c>
      <c r="D30" s="72">
        <f t="shared" ref="D30:E30" si="1">D29/$B$16</f>
        <v>4.2916666666666672E-2</v>
      </c>
      <c r="E30" s="72">
        <f t="shared" si="1"/>
        <v>4.2916666666666672E-2</v>
      </c>
      <c r="F30" s="68">
        <v>0.83</v>
      </c>
      <c r="G30" t="s">
        <v>182</v>
      </c>
    </row>
    <row r="31" spans="1:21" x14ac:dyDescent="0.75">
      <c r="A31" t="s">
        <v>192</v>
      </c>
      <c r="B31" s="72">
        <f>B28/$B$16</f>
        <v>0</v>
      </c>
      <c r="C31" s="72">
        <f t="shared" ref="C31:E31" si="2">C28/$B$16</f>
        <v>0</v>
      </c>
      <c r="D31" s="72">
        <f t="shared" si="2"/>
        <v>9.375E-2</v>
      </c>
      <c r="E31" s="72">
        <f t="shared" si="2"/>
        <v>9.375E-2</v>
      </c>
      <c r="F31" s="68">
        <v>0.06</v>
      </c>
      <c r="O31">
        <f>8*60</f>
        <v>480</v>
      </c>
    </row>
    <row r="32" spans="1:21" x14ac:dyDescent="0.75">
      <c r="A32" t="s">
        <v>174</v>
      </c>
      <c r="B32" s="68">
        <v>0.05</v>
      </c>
      <c r="C32" s="68">
        <v>0.05</v>
      </c>
      <c r="D32" s="68">
        <v>0.55000000000000004</v>
      </c>
      <c r="E32" s="68">
        <v>0.55000000000000004</v>
      </c>
      <c r="F32" s="78" t="s">
        <v>200</v>
      </c>
      <c r="G32" t="s">
        <v>182</v>
      </c>
      <c r="H32" t="s">
        <v>189</v>
      </c>
      <c r="M32" s="68"/>
      <c r="N32" s="68"/>
      <c r="O32" s="78"/>
    </row>
    <row r="33" spans="1:8" x14ac:dyDescent="0.75">
      <c r="A33" t="s">
        <v>178</v>
      </c>
      <c r="B33" s="73">
        <f>100%-B30-B32</f>
        <v>0.26424999999999993</v>
      </c>
      <c r="C33" s="73">
        <f t="shared" ref="C33" si="3">100%-C30-C32</f>
        <v>0.54049999999999998</v>
      </c>
      <c r="D33" s="73">
        <f t="shared" ref="D33" si="4">100%-D30-D32</f>
        <v>0.40708333333333324</v>
      </c>
      <c r="E33" s="73">
        <f t="shared" ref="E33" si="5">100%-E30-E32</f>
        <v>0.40708333333333324</v>
      </c>
      <c r="F33" s="68">
        <v>0</v>
      </c>
      <c r="G33" t="s">
        <v>182</v>
      </c>
      <c r="H33" t="s">
        <v>195</v>
      </c>
    </row>
    <row r="34" spans="1:8" x14ac:dyDescent="0.75">
      <c r="A34" t="s">
        <v>175</v>
      </c>
      <c r="B34" s="67">
        <v>5140</v>
      </c>
      <c r="C34" s="67">
        <v>8671</v>
      </c>
      <c r="D34" s="67">
        <v>6100</v>
      </c>
      <c r="E34" s="67">
        <v>4700</v>
      </c>
      <c r="F34" s="67">
        <v>2600</v>
      </c>
      <c r="G34" t="s">
        <v>165</v>
      </c>
      <c r="H34" t="s">
        <v>196</v>
      </c>
    </row>
    <row r="35" spans="1:8" x14ac:dyDescent="0.75">
      <c r="A35" t="s">
        <v>193</v>
      </c>
      <c r="B35" s="67">
        <v>0</v>
      </c>
      <c r="C35" s="67">
        <v>0</v>
      </c>
      <c r="D35" s="67">
        <v>0</v>
      </c>
      <c r="E35" s="67">
        <v>10000</v>
      </c>
      <c r="F35" s="67">
        <v>2100</v>
      </c>
      <c r="G35" t="s">
        <v>165</v>
      </c>
      <c r="H35" t="s">
        <v>191</v>
      </c>
    </row>
    <row r="36" spans="1:8" x14ac:dyDescent="0.75">
      <c r="A36" t="s">
        <v>176</v>
      </c>
      <c r="B36" s="67">
        <v>2490</v>
      </c>
      <c r="C36" s="67">
        <v>5092</v>
      </c>
      <c r="D36" s="67">
        <v>2670</v>
      </c>
      <c r="E36" s="77">
        <v>2670</v>
      </c>
      <c r="F36" s="67">
        <v>4100</v>
      </c>
      <c r="G36" t="s">
        <v>165</v>
      </c>
      <c r="H36" t="s">
        <v>189</v>
      </c>
    </row>
    <row r="37" spans="1:8" x14ac:dyDescent="0.75">
      <c r="A37" t="s">
        <v>177</v>
      </c>
      <c r="B37" s="67">
        <v>447</v>
      </c>
      <c r="C37" s="67">
        <v>541</v>
      </c>
      <c r="D37" s="67">
        <v>230</v>
      </c>
      <c r="E37" s="67">
        <v>230</v>
      </c>
      <c r="F37" s="67" t="s">
        <v>44</v>
      </c>
      <c r="G37" t="s">
        <v>165</v>
      </c>
      <c r="H37" t="s">
        <v>189</v>
      </c>
    </row>
    <row r="38" spans="1:8" x14ac:dyDescent="0.75">
      <c r="A38" t="s">
        <v>199</v>
      </c>
      <c r="B38" s="75">
        <f>(B30*B34+B31*B35+B32*B36+B33*B37)/1000</f>
        <v>3.7673747500000005</v>
      </c>
      <c r="C38" s="75">
        <f t="shared" ref="C38:E38" si="6">(C30*C34+C31*C35+C32*C36+C33*C37)/1000</f>
        <v>4.0977850000000009</v>
      </c>
      <c r="D38" s="75">
        <f>(D30*D34+D31*D35+D32*D36+D33*D37)/1000</f>
        <v>1.8239208333333337</v>
      </c>
      <c r="E38" s="75">
        <f t="shared" si="6"/>
        <v>2.7013375000000006</v>
      </c>
      <c r="F38" s="67">
        <v>2.35</v>
      </c>
      <c r="G38" t="s">
        <v>184</v>
      </c>
      <c r="H38" t="s">
        <v>194</v>
      </c>
    </row>
    <row r="39" spans="1:8" x14ac:dyDescent="0.75">
      <c r="A39" t="s">
        <v>197</v>
      </c>
      <c r="B39" s="75">
        <f>B38*$B$16</f>
        <v>30.138998000000004</v>
      </c>
      <c r="C39" s="75">
        <f t="shared" ref="C39:F39" si="7">C38*$B$16</f>
        <v>32.782280000000007</v>
      </c>
      <c r="D39" s="75">
        <f>D38*$B$16</f>
        <v>14.591366666666669</v>
      </c>
      <c r="E39" s="75">
        <f t="shared" si="7"/>
        <v>21.610700000000005</v>
      </c>
      <c r="F39" s="75">
        <f t="shared" si="7"/>
        <v>18.8</v>
      </c>
      <c r="G39" t="s">
        <v>188</v>
      </c>
    </row>
    <row r="40" spans="1:8" x14ac:dyDescent="0.75">
      <c r="A40" t="s">
        <v>198</v>
      </c>
      <c r="B40" s="70">
        <f>B39*$B$15</f>
        <v>26703.152228000003</v>
      </c>
      <c r="C40" s="71">
        <f t="shared" ref="C40:F40" si="8">C39*$B$15</f>
        <v>29045.100080000007</v>
      </c>
      <c r="D40" s="69">
        <f t="shared" si="8"/>
        <v>12927.95086666667</v>
      </c>
      <c r="E40" s="69">
        <f t="shared" si="8"/>
        <v>19147.080200000004</v>
      </c>
      <c r="F40" s="69">
        <f t="shared" si="8"/>
        <v>16656.8</v>
      </c>
      <c r="G40" s="55" t="s">
        <v>183</v>
      </c>
    </row>
    <row r="41" spans="1:8" x14ac:dyDescent="0.75">
      <c r="B41" s="52"/>
    </row>
    <row r="42" spans="1:8" x14ac:dyDescent="0.75">
      <c r="B42" s="52"/>
    </row>
  </sheetData>
  <sheetProtection algorithmName="SHA-512" hashValue="T7qrdfzEEncMNzsx38NG41gQ17d8Ds4n8Hmtfl8yzxcuNchrqVfHmi5LR0a6gCdkYtppVsZth+5akVDk69QM8A==" saltValue="zZoglarTNwof6Kj2SzF8LA==" spinCount="100000" sheet="1" objects="1" scenarios="1"/>
  <hyperlinks>
    <hyperlink ref="E6" r:id="rId1" xr:uid="{813A64B5-FD29-4CE4-B5FB-3C88CE2FD69F}"/>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58436-64F9-4200-9E44-2CC61D547173}">
  <dimension ref="A1:E3"/>
  <sheetViews>
    <sheetView workbookViewId="0">
      <selection activeCell="E4" sqref="E4"/>
    </sheetView>
  </sheetViews>
  <sheetFormatPr baseColWidth="10" defaultRowHeight="14.75" x14ac:dyDescent="0.75"/>
  <sheetData>
    <row r="1" spans="1:5" x14ac:dyDescent="0.75">
      <c r="A1" t="s">
        <v>226</v>
      </c>
    </row>
    <row r="3" spans="1:5" x14ac:dyDescent="0.75">
      <c r="A3" t="s">
        <v>284</v>
      </c>
      <c r="C3" t="s">
        <v>285</v>
      </c>
      <c r="E3" t="s">
        <v>286</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EA734-11EC-499C-8544-8D406D871ECF}">
  <dimension ref="A1"/>
  <sheetViews>
    <sheetView workbookViewId="0"/>
  </sheetViews>
  <sheetFormatPr baseColWidth="10" defaultRowHeight="14.75" x14ac:dyDescent="0.75"/>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4C923-E7F2-4256-B292-B5D3C96531F3}">
  <dimension ref="A13:A24"/>
  <sheetViews>
    <sheetView topLeftCell="XFD4" workbookViewId="0">
      <selection activeCell="O6" sqref="A1:XFD1048576"/>
    </sheetView>
  </sheetViews>
  <sheetFormatPr baseColWidth="10" defaultColWidth="0" defaultRowHeight="14.75" x14ac:dyDescent="0.75"/>
  <cols>
    <col min="1" max="1" width="0" hidden="1" customWidth="1"/>
    <col min="2" max="16384" width="10.86328125" hidden="1"/>
  </cols>
  <sheetData>
    <row r="13" spans="1:1" ht="18.5" x14ac:dyDescent="0.9">
      <c r="A13" s="1" t="s">
        <v>231</v>
      </c>
    </row>
    <row r="15" spans="1:1" x14ac:dyDescent="0.75">
      <c r="A15" t="s">
        <v>232</v>
      </c>
    </row>
    <row r="16" spans="1:1" x14ac:dyDescent="0.75">
      <c r="A16" t="s">
        <v>233</v>
      </c>
    </row>
    <row r="17" spans="1:1" x14ac:dyDescent="0.75">
      <c r="A17" t="s">
        <v>234</v>
      </c>
    </row>
    <row r="18" spans="1:1" x14ac:dyDescent="0.75">
      <c r="A18" t="s">
        <v>237</v>
      </c>
    </row>
    <row r="19" spans="1:1" x14ac:dyDescent="0.75">
      <c r="A19" t="s">
        <v>238</v>
      </c>
    </row>
    <row r="20" spans="1:1" x14ac:dyDescent="0.75">
      <c r="A20" t="s">
        <v>240</v>
      </c>
    </row>
    <row r="21" spans="1:1" x14ac:dyDescent="0.75">
      <c r="A21" t="s">
        <v>245</v>
      </c>
    </row>
    <row r="22" spans="1:1" x14ac:dyDescent="0.75">
      <c r="A22" t="s">
        <v>252</v>
      </c>
    </row>
    <row r="23" spans="1:1" x14ac:dyDescent="0.75">
      <c r="A23" t="s">
        <v>253</v>
      </c>
    </row>
    <row r="24" spans="1:1" x14ac:dyDescent="0.75">
      <c r="A24" t="s">
        <v>254</v>
      </c>
    </row>
  </sheetData>
  <sheetProtection algorithmName="SHA-512" hashValue="AuLoKO+jYK4INENVxwDlYzWVFDX4YdOYqdOtsPx46quXJv6Df6KjxDQBh12NDeEEhDx+6bjq2gB/zYizlCiw3Q==" saltValue="0d5UNgVSG5SSdgvGUV0dGg=="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Zusammenfassung</vt:lpstr>
      <vt:lpstr>Scope 3</vt:lpstr>
      <vt:lpstr>CO2-Faktoren</vt:lpstr>
      <vt:lpstr>End of Life</vt:lpstr>
      <vt:lpstr>Schichtplan</vt:lpstr>
      <vt:lpstr>MA-Pendeln</vt:lpstr>
      <vt:lpstr>Node_ID_Liste</vt:lpstr>
      <vt:lpstr>Sonstige Infos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Weyand_lokal</dc:creator>
  <cp:lastModifiedBy>Ozen, Oskay</cp:lastModifiedBy>
  <dcterms:created xsi:type="dcterms:W3CDTF">2023-07-11T08:52:52Z</dcterms:created>
  <dcterms:modified xsi:type="dcterms:W3CDTF">2025-06-23T12:43:51Z</dcterms:modified>
</cp:coreProperties>
</file>