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66925"/>
  <mc:AlternateContent xmlns:mc="http://schemas.openxmlformats.org/markup-compatibility/2006">
    <mc:Choice Requires="x15">
      <x15ac:absPath xmlns:x15ac="http://schemas.microsoft.com/office/spreadsheetml/2010/11/ac" url="P:\gruppen\ETA\WiMi-Team\100 Dokumentation\CO2-Bilanzierung_ETA\2023\"/>
    </mc:Choice>
  </mc:AlternateContent>
  <xr:revisionPtr revIDLastSave="0" documentId="13_ncr:1_{A913469A-8ED3-49FB-A9E1-5E19BD50CEED}" xr6:coauthVersionLast="47" xr6:coauthVersionMax="47" xr10:uidLastSave="{00000000-0000-0000-0000-000000000000}"/>
  <bookViews>
    <workbookView xWindow="-120" yWindow="-120" windowWidth="29040" windowHeight="15720" xr2:uid="{0ED761C5-912F-4C3E-9475-8301E2D5B423}"/>
  </bookViews>
  <sheets>
    <sheet name="Zusammenfassung" sheetId="1" r:id="rId1"/>
    <sheet name="Scope 3" sheetId="7" r:id="rId2"/>
    <sheet name="CO2-Faktoren" sheetId="2" r:id="rId3"/>
    <sheet name="End-of-Life" sheetId="10" r:id="rId4"/>
    <sheet name="MA-Pendeln" sheetId="11" r:id="rId5"/>
    <sheet name="Dienstreisen" sheetId="12"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1" l="1"/>
  <c r="E14" i="1"/>
  <c r="I15" i="1"/>
  <c r="F11" i="1" l="1"/>
  <c r="J24" i="11"/>
  <c r="I24" i="11"/>
  <c r="I26" i="11" s="1"/>
  <c r="H24" i="11"/>
  <c r="H26" i="11" s="1"/>
  <c r="G24" i="11"/>
  <c r="G26" i="11" s="1"/>
  <c r="F24" i="11"/>
  <c r="F26" i="11" s="1"/>
  <c r="E24" i="11"/>
  <c r="E26" i="11" s="1"/>
  <c r="D24" i="11"/>
  <c r="D26" i="11" s="1"/>
  <c r="C24" i="11"/>
  <c r="C26" i="11" s="1"/>
  <c r="AA10" i="12" l="1"/>
  <c r="AA9" i="12"/>
  <c r="AA8" i="12"/>
  <c r="AA7" i="12"/>
  <c r="E11" i="1" l="1"/>
  <c r="E20" i="1" l="1"/>
  <c r="C20" i="1"/>
  <c r="I14" i="10" s="1"/>
  <c r="K14" i="10" s="1"/>
  <c r="F24" i="1" s="1"/>
  <c r="C9" i="1"/>
  <c r="C29" i="1" l="1"/>
  <c r="I17" i="10" s="1"/>
  <c r="K17" i="10" s="1"/>
  <c r="F29" i="1" s="1"/>
  <c r="C19" i="1"/>
  <c r="C30" i="1" l="1"/>
  <c r="F30" i="1" s="1"/>
  <c r="C16" i="1"/>
  <c r="C18" i="1" l="1"/>
  <c r="C13" i="1"/>
  <c r="E13" i="1"/>
  <c r="F13" i="1" l="1"/>
  <c r="C10" i="1"/>
  <c r="C21" i="1" l="1"/>
  <c r="I16" i="10" s="1"/>
  <c r="K16" i="10" s="1"/>
  <c r="F26" i="1" s="1"/>
  <c r="C22" i="1"/>
  <c r="C23" i="1"/>
  <c r="I15" i="10" s="1"/>
  <c r="K15" i="10" s="1"/>
  <c r="F25" i="1" s="1"/>
  <c r="C15" i="1"/>
  <c r="E9" i="1"/>
  <c r="F43" i="1"/>
  <c r="F42" i="1"/>
  <c r="E19" i="1" l="1"/>
  <c r="F19" i="1" s="1"/>
  <c r="E22" i="1"/>
  <c r="E23" i="1"/>
  <c r="E21" i="1"/>
  <c r="C6" i="1"/>
  <c r="E6" i="1"/>
  <c r="E10" i="1"/>
  <c r="C8" i="1"/>
  <c r="C7" i="1"/>
  <c r="E8" i="1"/>
  <c r="E7" i="1"/>
  <c r="F9" i="1"/>
  <c r="F6" i="1" l="1"/>
  <c r="F8" i="1"/>
  <c r="F21" i="1"/>
  <c r="F23" i="1"/>
  <c r="F22" i="1"/>
  <c r="F40" i="1"/>
  <c r="F7" i="1"/>
  <c r="F20" i="1"/>
  <c r="F10" i="1"/>
  <c r="E15" i="1"/>
  <c r="F15" i="1" s="1"/>
  <c r="E12" i="1"/>
  <c r="F12" i="1" s="1"/>
  <c r="F41" i="1" l="1"/>
  <c r="F38" i="1"/>
  <c r="E18" i="1" l="1"/>
  <c r="F18" i="1" s="1"/>
  <c r="E5" i="1"/>
  <c r="F5" i="1" s="1"/>
  <c r="E4" i="1" l="1"/>
  <c r="F4" i="1" s="1"/>
  <c r="E16" i="1" l="1"/>
  <c r="F16" i="1" s="1"/>
  <c r="F35" i="1" s="1"/>
  <c r="F36" i="1" l="1"/>
  <c r="G42" i="1" l="1"/>
  <c r="G43" i="1"/>
  <c r="G40" i="1"/>
  <c r="G38" i="1"/>
  <c r="G41" i="1"/>
  <c r="F39" i="1"/>
  <c r="G3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tc={6DD3527B-13E0-42AB-989B-9CF73C0E2E28}</author>
  </authors>
  <commentList>
    <comment ref="N1" authorId="0" shapeId="0" xr:uid="{6DD3527B-13E0-42AB-989B-9CF73C0E2E2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Wenn leer, dann werden km doppelt berechnet (inkl. Personen, 
außer beim Auto)</t>
      </text>
    </comment>
  </commentList>
</comments>
</file>

<file path=xl/sharedStrings.xml><?xml version="1.0" encoding="utf-8"?>
<sst xmlns="http://schemas.openxmlformats.org/spreadsheetml/2006/main" count="517" uniqueCount="339">
  <si>
    <t>Scope 1</t>
  </si>
  <si>
    <t>Erdgas</t>
  </si>
  <si>
    <t>Scope 2</t>
  </si>
  <si>
    <t>KSS</t>
  </si>
  <si>
    <t>Reinigungsmittel</t>
  </si>
  <si>
    <t>Rohteile</t>
  </si>
  <si>
    <t>Verbrauch</t>
  </si>
  <si>
    <t>Einheit</t>
  </si>
  <si>
    <t>CO2-Faktor</t>
  </si>
  <si>
    <t>CO2-Faktoren ETA</t>
  </si>
  <si>
    <t>Werkzeuge</t>
  </si>
  <si>
    <t>Papier</t>
  </si>
  <si>
    <t>Scope 3.3</t>
  </si>
  <si>
    <t>Transport Rohlinge</t>
  </si>
  <si>
    <t>Späne</t>
  </si>
  <si>
    <t>Alt-KSS</t>
  </si>
  <si>
    <t>Alt-Öl</t>
  </si>
  <si>
    <t>Dienstreisen</t>
  </si>
  <si>
    <t>Mitarbeiter*innen-Pendeln</t>
  </si>
  <si>
    <t>Scope 3.4</t>
  </si>
  <si>
    <t>Scope 3.5</t>
  </si>
  <si>
    <t>Scope 3.6</t>
  </si>
  <si>
    <t>Scope 3.7</t>
  </si>
  <si>
    <t>kWh</t>
  </si>
  <si>
    <t>Scope 3.1 (Betriebsmittel)</t>
  </si>
  <si>
    <t>Strom ETA</t>
  </si>
  <si>
    <t>Strom Homeoffice</t>
  </si>
  <si>
    <t>Quelle Verbrauch</t>
  </si>
  <si>
    <t>Anmerkung</t>
  </si>
  <si>
    <t>Transportmittel</t>
  </si>
  <si>
    <t>Ressource</t>
  </si>
  <si>
    <t>Scope</t>
  </si>
  <si>
    <t>kg</t>
  </si>
  <si>
    <t>Strom</t>
  </si>
  <si>
    <t>Druckluft</t>
  </si>
  <si>
    <t>Stickstoff</t>
  </si>
  <si>
    <t>Ammoniak</t>
  </si>
  <si>
    <t>Standardannahme</t>
  </si>
  <si>
    <t>Alternative</t>
  </si>
  <si>
    <t>Quelle CO2-Faktor</t>
  </si>
  <si>
    <t>Name in der Datenbank</t>
  </si>
  <si>
    <t>kgCO2-e/kWh</t>
  </si>
  <si>
    <t>Umweltbundesamt</t>
  </si>
  <si>
    <t>-</t>
  </si>
  <si>
    <t>kgCO2-e/m^3</t>
  </si>
  <si>
    <t>ecoinvent 3.9.1</t>
  </si>
  <si>
    <t>compressed air production, 800 kPa gauge, &lt;30kW, average generation, RER, IPCC 2021, climate change, GWP 100</t>
  </si>
  <si>
    <t xml:space="preserve"> </t>
  </si>
  <si>
    <t>compressed air production, 700 kPa gauge, &gt;30kW, average generation, RER, IPCC 2021, climate change, GWP 100</t>
  </si>
  <si>
    <t>kgCO2-e/kg</t>
  </si>
  <si>
    <t>market for lubricating oil, RER, IPCC 2021, GWP 100</t>
  </si>
  <si>
    <t>Werkzeug</t>
  </si>
  <si>
    <t>steel production, chromium steel 18/8, hot rolled, RER, IPCC 2021, GWP 100</t>
  </si>
  <si>
    <t>market for aluminium scrap, post-consumer, prepared for melting, GLO, IPCC 2021, GWP 100</t>
  </si>
  <si>
    <t>kgCO-e/kg</t>
  </si>
  <si>
    <t>Probas</t>
  </si>
  <si>
    <t>Aluminium, sekundär</t>
  </si>
  <si>
    <t>treatment of waste mineral oil, hazardous waste incineration, Europe without Switzerland, IPCC 2021, GWP 100</t>
  </si>
  <si>
    <t>Alt-Werkzeug</t>
  </si>
  <si>
    <t>treatment of waste reinforcement steel, recycling, RoW, IPCC 2021, GWP 100</t>
  </si>
  <si>
    <t>cleaning consumables, without water, in 13.6% solution state, GLO, IPCC 2021, GWP 100</t>
  </si>
  <si>
    <t>market for natural gas, low pressure, DE, IPCC 2021, GWP 100</t>
  </si>
  <si>
    <t>air separation, cryogenic, RER, IPCC 2021, GWP 100</t>
  </si>
  <si>
    <t>Xtra-generischN2</t>
  </si>
  <si>
    <t>ammonia production, partial oxidation, liquid, RoW, IPCC 2021, GWP 100</t>
  </si>
  <si>
    <t>Chem-AnorgAmmoniak-DE-2020</t>
  </si>
  <si>
    <t>Rohmaterial (AlCuMgPb)</t>
  </si>
  <si>
    <t>market for aluminium alloy, AlMg3, GLO, IPCC 2021, GWP 100</t>
  </si>
  <si>
    <t>MetallAluminium-Import-mix-DE-2020</t>
  </si>
  <si>
    <t>aluminium ingot, primary, to aluminium, cast alloy market, GLO</t>
  </si>
  <si>
    <t>Glas</t>
  </si>
  <si>
    <t>flat glass production, coated, RER, IPCC 2021, GWP 100</t>
  </si>
  <si>
    <t>Ton</t>
  </si>
  <si>
    <t>clay brick production, RER, IPCC 2021, GWP 100</t>
  </si>
  <si>
    <t>Kunststoff</t>
  </si>
  <si>
    <t>market for polyethylene, high density, granulate, GLO, IPCC 2021, GWP 100</t>
  </si>
  <si>
    <t>market for polyethylene, high density, granulate, recycled, Europe without Switzerland</t>
  </si>
  <si>
    <t>packaging film production, low density polyethylene, RER</t>
  </si>
  <si>
    <t>Wasser</t>
  </si>
  <si>
    <t>water production, deionised, Europe without Switzerland</t>
  </si>
  <si>
    <t>SUMME</t>
  </si>
  <si>
    <t>Vorgelagerte Wertschöpfungskette</t>
  </si>
  <si>
    <t>Beschreibung</t>
  </si>
  <si>
    <t>Minimaler Grenzwert</t>
  </si>
  <si>
    <t>Gekaufte Waren und Dienstleistungen</t>
  </si>
  <si>
    <t>Gewinnung, Produktion und Transport von Waren und Dienstleistungen die das berichtende Unternehmen im Berichtsjahr gekauft oder erworben hat, die nicht anderweitig in den Kategorien 2 - 8 enthalten sind</t>
  </si>
  <si>
    <t>Investitionsgüter</t>
  </si>
  <si>
    <t>Gewinnung, Herstellung und Transport von Investitionsgütern, die von dem berichtenden Unternehmen im Berichtsjahr gekauft oder erworben wurden</t>
  </si>
  <si>
    <t>Brennstoff- und energiebezogene Aktivitäten (nicht in Scope 1 und 2 enthalten)</t>
  </si>
  <si>
    <t>Gewinnung, Produktion und Transport von Brennstoffen und Energie gekauft oder erworben durch das Unternehmen im Berichtsjahr, die nicht bereits in Scope 1 oder Scope 2 enthalten sind, einschließlich:
a) Vorgelagerte Emissionen von eingekauften Brennstoffen (Gewinnung, Herstellung und Transport von Brennstoffen, die vom berichtenden Unternehmen verbraucht werden.
b) Vorgelagerte Emissionen von eingekaufter Elektrizität (Gewinnung, Herstellung und Transport von Brennstoffen, die zur Erzeugung von Elektrizität, Dampf, Wärme und Kälte verbraucht werden, die das berichtende Unternehmen verbraucht).
c) Übertragungs- und Verteilungsverluste (Erzeugung von Strom, Dampf, Wärme und Kälte, die in einem Übertragungs- und Verteilungssystem verbraucht werden (d. h. verloren gehen)) - vom Endverbraucher gemeldet.
d) Erzeugung von eingekaufter Elektrizität, die an Endverbraucher verkauft wird (Erzeugung von Elektrizität, Dampf, Wärme und Kälte, die vom meldenden Unternehmen eingekauft und an Endverbraucher verkauft wird) - nur von Versorgungsunternehmen oder Energiehändlern gemeldet.</t>
  </si>
  <si>
    <t>Vorgelagerter Transport und Vertrieb</t>
  </si>
  <si>
    <t>Transport und Verteilung von Produkten, die das meldende Unternehmen im Berichtsjahr gekauft hat, zwischen den Tier-1-Lieferanten des Unternehmens und dem eigenen Betrieb (in Fahrzeugen und Einrichtungen, die nicht dem meldenden Unternehmen gehören oder von ihm kontrolliert werden).
Transport- und Vertriebsdienstleistungen, die das meldende Unternehmen im Berichtsjahr erworben hat, einschließlich der Eingangslogistik, der Ausgangslogistik (z. B. für verkaufte Produkte) sowie des Transports und Vertriebs zwischen unternehmenseigenen Einrichtungen (in Fahrzeugen und Einrichtungen, die nicht dem meldenden Unternehmen gehören oder von ihm kontrolliert werden).</t>
  </si>
  <si>
    <t>Im Betrieb anfallende Abfälle</t>
  </si>
  <si>
    <t>Entsorgung und Behandlung von Abfällen, die im Berichtsjahr in den Betrieben des berichtenden Unternehmens entstanden sind (in Anlagen, die sich nicht im Besitz oder unter der Kontrolle des berichtenden Unternehmens befinden).</t>
  </si>
  <si>
    <t>Geschäftsreisen</t>
  </si>
  <si>
    <t>Beförderung von Mitarbeitern für geschäftsbezogene Tätigkeiten während des Berichtsjahres (in Fahrzeugen, die nicht dem meldenden Unternehmen gehören oder von ihm betrieben werden).</t>
  </si>
  <si>
    <t>Die Scope-1- und Scope-2-Emissionen von Transportunternehmen, die während der Nutzung der Fahrzeuge entstehen (z. B. durch
Energienutzung).
Optional: Die mit der Herstellung von Fahrzeugen oder Infrastruktur verbundenen Lebenszyklusemissionen.</t>
  </si>
  <si>
    <t>Pendeln von Arbeitnehmern</t>
  </si>
  <si>
    <t>Beförderung von Arbeitnehmern zwischen ihrem Wohnort und ihrem Arbeitsplatz während des Berichtsjahres (in Fahrzeugen, die nicht dem meldenden Unternehmen gehören oder von ihm betrieben werden).</t>
  </si>
  <si>
    <t>Vorgelagerte geleaste Vermögenswerte</t>
  </si>
  <si>
    <t>Betrieb von Vermögenswerten, die von der berichtenden Gesellschaft (Leasingnehmer) im Berichtsjahr geleast wurden und nicht in Scope 1 und Scope 2 enthalten sind - vom Leasingnehmer gemeldet.</t>
  </si>
  <si>
    <t>Nachgelagerte Wertschöpfungskette</t>
  </si>
  <si>
    <t>Nachgelagerter Transport und Vertrieb</t>
  </si>
  <si>
    <t>Verarbeitung der verkauften Produkte</t>
  </si>
  <si>
    <t>Verwendung der verkauften Produkte</t>
  </si>
  <si>
    <t>End-of-Life-Behandlung von verkauften Produkten</t>
  </si>
  <si>
    <t>Nachgelagerte geleaste Vermögenswerte</t>
  </si>
  <si>
    <t>Franchises</t>
  </si>
  <si>
    <t>Investitionen</t>
  </si>
  <si>
    <t>Umrechnung mit Brennwert von 11,5 gemäß Dokumenten von hier https://www.e-netz-suedhessen.de/service/energielieferanten/gas/marktgebiet (Marktgebiet A)</t>
  </si>
  <si>
    <t>m^3</t>
  </si>
  <si>
    <t>Erdgas (Gewinnung und Transport)</t>
  </si>
  <si>
    <t>Erdgas (Verbrennung)</t>
  </si>
  <si>
    <t xml:space="preserve">natural gas, burned in gas turbine, DE, IPCC 2021, GWP 100 </t>
  </si>
  <si>
    <t>CO2-Emissionen in kg</t>
  </si>
  <si>
    <t>Kommentar</t>
  </si>
  <si>
    <t>Name</t>
  </si>
  <si>
    <t>Homeoffice</t>
  </si>
  <si>
    <t>1,5 kWh/Tag/Mitarbeiter berechnet mit Schichtplan</t>
  </si>
  <si>
    <t>Auto</t>
  </si>
  <si>
    <t>Fahrrad</t>
  </si>
  <si>
    <t>Bus</t>
  </si>
  <si>
    <t>Straßenbahn</t>
  </si>
  <si>
    <t>Zu Fuß</t>
  </si>
  <si>
    <t>E-Roller</t>
  </si>
  <si>
    <t>Zug ÖPNV</t>
  </si>
  <si>
    <t>Zug ICE</t>
  </si>
  <si>
    <t>Flugzeug (&gt;4000km)</t>
  </si>
  <si>
    <t>Flugzeug (1500 &gt; x &gt; 4000km)</t>
  </si>
  <si>
    <t>Flugzeug (800 &gt; x &gt; 1500 km)</t>
  </si>
  <si>
    <t>Flugzeug (&lt;800km)</t>
  </si>
  <si>
    <t>kgCO2e/km</t>
  </si>
  <si>
    <t>kgCO2e/person*km</t>
  </si>
  <si>
    <t>transport, passenger car, RER</t>
  </si>
  <si>
    <t>transport, passenger, bicycle, RoW</t>
  </si>
  <si>
    <t>transport, passenger coach, RoW</t>
  </si>
  <si>
    <t>transport, tram, RoW</t>
  </si>
  <si>
    <t>market for transport, passenger, electric scooter, GLO</t>
  </si>
  <si>
    <t>transport, passenger train, DE</t>
  </si>
  <si>
    <t>transport, passenger train, high-speed, DE</t>
  </si>
  <si>
    <t>transport, passenger aircraft, long haul, GLO</t>
  </si>
  <si>
    <t>transport, passenger aircraft, medium haul, GLO</t>
  </si>
  <si>
    <t>transport, passenger aircraft, short haul, GLO</t>
  </si>
  <si>
    <t>transport, passenger aircraft, very short haul, GLO</t>
  </si>
  <si>
    <t>Kaffee</t>
  </si>
  <si>
    <t>kgCO2e/kg</t>
  </si>
  <si>
    <t>coffee green bean production, arabica, india</t>
  </si>
  <si>
    <t>graphic paper production, 100% recycled, RoW</t>
  </si>
  <si>
    <t>Öl</t>
  </si>
  <si>
    <t>Rechnung Rohlinge (Andreas)</t>
  </si>
  <si>
    <t>380l für 26 Wochen an Y, 60 Liter für 26 Wochen an GT</t>
  </si>
  <si>
    <t>Äquivalent zu Input</t>
  </si>
  <si>
    <t>KSS/Öl</t>
  </si>
  <si>
    <t>Rohmaterial (Chromstahl)</t>
  </si>
  <si>
    <t>jeweils 12l EMAG Y und GT pro Jahr, plus Aufschlag für restliche ETA-Maschinen, Dichte 0,9kg/l</t>
  </si>
  <si>
    <t>über 6 Monate, bei 25 Versuchstagen ca. 15 kg RM, doppelte Menge als Aufschlag für JAVA und KEA</t>
  </si>
  <si>
    <t>Transport Lastwagen</t>
  </si>
  <si>
    <t>kgCO2e/t*km</t>
  </si>
  <si>
    <t>km*t</t>
  </si>
  <si>
    <t>Scope 3</t>
  </si>
  <si>
    <t>3.1.</t>
  </si>
  <si>
    <t>3.3.</t>
  </si>
  <si>
    <t>3.4.</t>
  </si>
  <si>
    <t>3.5.</t>
  </si>
  <si>
    <t>Betriebsmittel</t>
  </si>
  <si>
    <t>Energiebezogene Aktivitäten</t>
  </si>
  <si>
    <t>Vorgelagerter Transport</t>
  </si>
  <si>
    <t>Abfälle</t>
  </si>
  <si>
    <t>3.7.</t>
  </si>
  <si>
    <t>3.6.</t>
  </si>
  <si>
    <t>MA-Pendeln</t>
  </si>
  <si>
    <t>market for steel, chromium steel 18/8, GLO, IPCC 2021, GWP 100</t>
  </si>
  <si>
    <t>Name in der Datenbank (Ecoinvent 3.9.1)</t>
  </si>
  <si>
    <t>Abwasser</t>
  </si>
  <si>
    <t>treatment of wastewater, average, wastewater treatment, Europe without Switzerland, IPCC 2021, GWP 100</t>
  </si>
  <si>
    <t>Tee</t>
  </si>
  <si>
    <t>Druckerpatronen</t>
  </si>
  <si>
    <t>Stück</t>
  </si>
  <si>
    <t>market for tea, dried, GLO, IPCC 2021, GWP 100</t>
  </si>
  <si>
    <t>market for printing ink, offset, without solvent, in 47.5% solution state, RER, IPCC 2021, GWP 100</t>
  </si>
  <si>
    <t>Druckertinte</t>
  </si>
  <si>
    <t>solvent needs to be added extra!</t>
  </si>
  <si>
    <t xml:space="preserve">Tee </t>
  </si>
  <si>
    <t xml:space="preserve">ca. 6-7 Kartons. A 2000 Blatt. Bei 7x2000 = 14.000 Blatt im Jahr 2023. In 2022 noch 8 Kartons = 16.000 Blatt. In 2020 12 Kartons = 24.000 Blatt, Gewichterechner: https://mailingdruck24.de/papiergewicht/ </t>
  </si>
  <si>
    <t>Bohnen: 1,5 bis 2 Packungen a 1kg im Monat = ca. 18 bis 24kg jährlich = Ø = 21kg // Gemahlener Kaffee: Wir erhalten 1x im Monat einen Karton mit 20x250g Packungen. Hier ist der Verbrauch im Jahr etwas geringer als die Liefermenge. Geschätzter tatsächlicher Verbrauch sind 10 Kartons im Kalenderjahr = 200 Packungen = 50kg.</t>
  </si>
  <si>
    <t xml:space="preserve">6-7 Kartons mit Ø 180 Teebeutel. 1 Teebeutel = 1,5g bis 2,5g = Ø 1,8g. // 1 Karton = 360g. </t>
  </si>
  <si>
    <t>ETA Carbon Footprint 2023 Forschungsbetrieb</t>
  </si>
  <si>
    <t>siehe Dienstreisen</t>
  </si>
  <si>
    <t>Scope 3.9</t>
  </si>
  <si>
    <t>Scope 3.12</t>
  </si>
  <si>
    <t>1. Metallschrottcontainer (normal)</t>
  </si>
  <si>
    <t>Gefahren nach TSR Darmstadt, Otto-Röhm-Str. 57</t>
  </si>
  <si>
    <t>(geringe Vergütung daran</t>
  </si>
  <si>
    <t>2. MS (ölverschmutzte Metalle)</t>
  </si>
  <si>
    <t>RVM Rückstandsverwertungs-GmbH Mannheim</t>
  </si>
  <si>
    <t>               Waschen und Weiterverarbeitung</t>
  </si>
  <si>
    <t>                               Recycling</t>
  </si>
  <si>
    <t>3. Emulsion : Firma Müller aus Eppertshausen (4000 L pro Absaugen, jetzt am 14. Juni); wird zur Sonderabfall-Verbrennungsanlage + Aufbereitungsanfall in Biebesheim am Rhein gefahren</t>
  </si>
  <si>
    <t>Transport</t>
  </si>
  <si>
    <t>Metallschrott</t>
  </si>
  <si>
    <t>Ölverschmutzter Metallschrott</t>
  </si>
  <si>
    <t>Emulsionen</t>
  </si>
  <si>
    <t>Start</t>
  </si>
  <si>
    <t>Ziel</t>
  </si>
  <si>
    <t>ETA-Fabrik</t>
  </si>
  <si>
    <t>Distanz km</t>
  </si>
  <si>
    <t>TSR, Otto-Röhm-Str. 57</t>
  </si>
  <si>
    <t>RVM Rotterdamer Str. 9, 68219 Mannheim</t>
  </si>
  <si>
    <t>Sondermüllverbrennungsanlage Biebesheim</t>
  </si>
  <si>
    <t>Unit</t>
  </si>
  <si>
    <t>kgCO2e/(metric tonne *km)</t>
  </si>
  <si>
    <t>Factor</t>
  </si>
  <si>
    <t>transport, freight, lorry, all sizes, EURO3 to generic market for transport, freight, lorry, unspecified; IPCC 2021 GWP 100</t>
  </si>
  <si>
    <t>Mass in tonnes</t>
  </si>
  <si>
    <t>Waste</t>
  </si>
  <si>
    <t>Type</t>
  </si>
  <si>
    <t>treatment of metal scrap, mixed, for recycling, unsorted, sorting ; Europe w/o CH</t>
  </si>
  <si>
    <t>treatment of hazardous waste, hazardous waste incineration ; Europe w/o CH</t>
  </si>
  <si>
    <t>needs to be reworked 2024</t>
  </si>
  <si>
    <t>Downstream Transport (Control Discs)</t>
  </si>
  <si>
    <t>End-of-Life (Control Discs)</t>
  </si>
  <si>
    <t>Bauteile in 2023</t>
  </si>
  <si>
    <t>treatment of metal scrap, mixed, for recycling, unsorted, sorting ; Europe w/o CH ; GWP 100</t>
  </si>
  <si>
    <t>Transport Lorry</t>
  </si>
  <si>
    <t>kgCO2e</t>
  </si>
  <si>
    <t>km</t>
  </si>
  <si>
    <t>Metallschrott (Späne)</t>
  </si>
  <si>
    <t>Metallschrott (Control Disc)</t>
  </si>
  <si>
    <t>Erdgas Transport+Verlust</t>
  </si>
  <si>
    <t>Heat Homeoffice</t>
  </si>
  <si>
    <t>Arbeitskleidung</t>
  </si>
  <si>
    <t>textile production, cotton, weaving</t>
  </si>
  <si>
    <t>Transport Emulsionen  (direkte Berechnung)</t>
  </si>
  <si>
    <t>Transport Werkzeug  (direkte Berechnung)</t>
  </si>
  <si>
    <t>market for fibre, polyester, GLO, IPCC 2021, GWP 100</t>
  </si>
  <si>
    <t>polyester clothing</t>
  </si>
  <si>
    <t xml:space="preserve"> Ziel (Stadt)</t>
  </si>
  <si>
    <t xml:space="preserve">Ziel (Land, Englisch) - NUR  AUSLAND </t>
  </si>
  <si>
    <t>CO2 Faktor Hotel</t>
  </si>
  <si>
    <t>Reisemittel</t>
  </si>
  <si>
    <t>CO2 Faktor Transportmittel</t>
  </si>
  <si>
    <t>Datum (Monat)</t>
  </si>
  <si>
    <t>Anzahl Reisende 
(aus der ETA)</t>
  </si>
  <si>
    <t>Übernachtungen 
pro Person</t>
  </si>
  <si>
    <t>Grund (um Dopplungen zu vermeiden)</t>
  </si>
  <si>
    <t>km (einfach)</t>
  </si>
  <si>
    <t>einfache Fahrt?
(ja/nein)</t>
  </si>
  <si>
    <t>km doppelt (inkl. Personen 
außer beim Auto)</t>
  </si>
  <si>
    <t>Reise CO2</t>
  </si>
  <si>
    <t>Übernachtung CO2
kgCO2e/room-night</t>
  </si>
  <si>
    <t>ANY OTHER COUNTRY</t>
  </si>
  <si>
    <t>Argentina</t>
  </si>
  <si>
    <t>Australia</t>
  </si>
  <si>
    <t>Belgium</t>
  </si>
  <si>
    <t>Brazil</t>
  </si>
  <si>
    <t>Canada</t>
  </si>
  <si>
    <t>Chile</t>
  </si>
  <si>
    <t>China</t>
  </si>
  <si>
    <t>Costa Rica</t>
  </si>
  <si>
    <t>Czech Republic</t>
  </si>
  <si>
    <t>Egypt</t>
  </si>
  <si>
    <t>Fiji</t>
  </si>
  <si>
    <t>France</t>
  </si>
  <si>
    <t>Greece</t>
  </si>
  <si>
    <t>India</t>
  </si>
  <si>
    <t>Indonesia</t>
  </si>
  <si>
    <t>Ireland</t>
  </si>
  <si>
    <t>Israel</t>
  </si>
  <si>
    <t>Italy</t>
  </si>
  <si>
    <t>Japan</t>
  </si>
  <si>
    <t>Jordan</t>
  </si>
  <si>
    <t>Malaysia</t>
  </si>
  <si>
    <t>Maldives</t>
  </si>
  <si>
    <t>Mexico</t>
  </si>
  <si>
    <t>Netherlands</t>
  </si>
  <si>
    <t>New Zealand</t>
  </si>
  <si>
    <t>Oman</t>
  </si>
  <si>
    <t>Panama</t>
  </si>
  <si>
    <t>Peru</t>
  </si>
  <si>
    <t>Philippines</t>
  </si>
  <si>
    <t>Poland</t>
  </si>
  <si>
    <t>Portugal</t>
  </si>
  <si>
    <t>Qatar</t>
  </si>
  <si>
    <t>Romania</t>
  </si>
  <si>
    <t>Saudi Arabia</t>
  </si>
  <si>
    <t>Singapore</t>
  </si>
  <si>
    <t>South Africa</t>
  </si>
  <si>
    <t>Spain</t>
  </si>
  <si>
    <t>Switzerland</t>
  </si>
  <si>
    <t>Thailand</t>
  </si>
  <si>
    <t>Turkey</t>
  </si>
  <si>
    <t>United Arab Emirates</t>
  </si>
  <si>
    <t>UK (London)</t>
  </si>
  <si>
    <t>United States</t>
  </si>
  <si>
    <t>Vietnam</t>
  </si>
  <si>
    <t>aufgrund sensibler Daten keine Einträge</t>
  </si>
  <si>
    <t>Country</t>
  </si>
  <si>
    <t>kgCO2e/room-night</t>
  </si>
  <si>
    <t>Columbia</t>
  </si>
  <si>
    <t>Hong Kong</t>
  </si>
  <si>
    <t>Macao</t>
  </si>
  <si>
    <t>Russia</t>
  </si>
  <si>
    <t>Slovakia</t>
  </si>
  <si>
    <t>South Korea</t>
  </si>
  <si>
    <t>Taiwan</t>
  </si>
  <si>
    <t>United Kingdom</t>
  </si>
  <si>
    <t>Viet Nam</t>
  </si>
  <si>
    <t>Germany (2023)</t>
  </si>
  <si>
    <t>Hotel CO2 Factors
source: climateiq</t>
  </si>
  <si>
    <t>Flugzeug (Business)</t>
  </si>
  <si>
    <t>Flugzeug (Standard)</t>
  </si>
  <si>
    <t>LKW (3,5 t)</t>
  </si>
  <si>
    <t>zu Fuß</t>
  </si>
  <si>
    <t>Zug (ÖPNV)</t>
  </si>
  <si>
    <t>Flugzeug (800 &gt; x &gt; 1500km)</t>
  </si>
  <si>
    <t>B Flugzeug (&gt;4000km)</t>
  </si>
  <si>
    <t>B Flugzeug (1500 &gt; x &gt; 4000km)</t>
  </si>
  <si>
    <t>B Flugzeug (800 &gt; x &gt; 1500km)</t>
  </si>
  <si>
    <t>B Flugzeug (&lt;800km)</t>
  </si>
  <si>
    <t>Transport CO2 Factors</t>
  </si>
  <si>
    <t>Transportmittel - Anzahl Tage eintragen bezogen auf Arbeitswoche (5 Tage)</t>
  </si>
  <si>
    <t>Distanz zur Arbeit (einfacher Weg, in km)</t>
  </si>
  <si>
    <t>Zug</t>
  </si>
  <si>
    <t>SUMME (Jahr)</t>
  </si>
  <si>
    <t xml:space="preserve">Annahme: 251 Arbeitstage in 2023 in Hessen, 33 Urlaubstage, 10 Bildungsurlaubstage (Mittel 5), 15,2 Tage Krankheit (https://de.statista.com/statistik/daten/studie/13441/umfrage/entwicklung-der-jaehrlichen-anzahl-krankheitsbedingter-fehltage-je-arbeitnehmer/#:~:text=Die%20Statistik%20zeigt%20die%20j%C3%A4hrliche,in%20Deutschland%20einen%20erneuten%20H%C3%B6chstwert.) </t>
  </si>
  <si>
    <t>CO2 Faktor</t>
  </si>
  <si>
    <t>Siehe MA-Pendeln</t>
  </si>
  <si>
    <t>Siehe End-of-Life</t>
  </si>
  <si>
    <t>444g Späne pro Bauteil (Messungen),  Menge prpodzierter Teile in 2023 aus Produktionsplan</t>
  </si>
  <si>
    <t>Abrechnung</t>
  </si>
  <si>
    <t>Bestellliste</t>
  </si>
  <si>
    <t>Rechnung Rohlinge</t>
  </si>
  <si>
    <t>Expertenschätzung intern</t>
  </si>
  <si>
    <t xml:space="preserve">Abrechnung </t>
  </si>
  <si>
    <t>Start (Stadt)</t>
  </si>
  <si>
    <t>2 Werkzeuge für 20 BT (Expertenschätzung intern), 150 Teile in 2023 produziert (Expertenschätzung intern), 10g/Werkzeug (Expertenschätzung intern)</t>
  </si>
  <si>
    <t xml:space="preserve">schätze 0-1 Patrone wurde im Jahr 2023 ausgetauscht </t>
  </si>
  <si>
    <t>aufgrund sensibler Daten keine Einträge - leere Spalten (Zeile 1) aufgrund Teil-Automatisierung der Berechnung</t>
  </si>
  <si>
    <t>Transport Späne (direkte Berechnung)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</si>
</sst>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 _€_-;\-* #,##0.00\ _€_-;_-* &quot;-&quot;??\ _€_-;_-@_-"/>
    <numFmt numFmtId="165" formatCode="#,##0.0000"/>
    <numFmt numFmtId="166" formatCode="_-* #,##0.0000000_-;\-* #,##0.0000000_-;_-* &quot;-&quot;??_-;_-@_-"/>
    <numFmt numFmtId="167" formatCode="_-* #,##0.0000000\ _€_-;\-* #,##0.0000000\ _€_-;_-* &quot;-&quot;???????\ _€_-;_-@_-"/>
    <numFmt numFmtId="168" formatCode="0.0000"/>
  </numFmts>
  <fonts count="15" x14ac:knownFonts="1">
    <font>
      <sz val="11"/>
      <color theme="1"/>
      <name val="Calibri"/>
      <family val="2"/>
      <scheme val="minor"/>
    </font>
    <font>
      <b/>
      <u/>
      <sz val="14"/>
      <color theme="1"/>
      <name val="Calibri"/>
      <family val="2"/>
      <scheme val="minor"/>
    </font>
    <font>
      <b/>
      <sz val="16"/>
      <color theme="1"/>
      <name val="Calibri"/>
      <family val="2"/>
      <scheme val="minor"/>
    </font>
    <font>
      <u/>
      <sz val="11"/>
      <color theme="10"/>
      <name val="Calibri"/>
      <family val="2"/>
      <scheme val="minor"/>
    </font>
    <font>
      <b/>
      <sz val="11"/>
      <color theme="0"/>
      <name val="Calibri"/>
      <family val="2"/>
      <scheme val="minor"/>
    </font>
    <font>
      <sz val="11"/>
      <color theme="0"/>
      <name val="Calibri"/>
      <family val="2"/>
      <scheme val="minor"/>
    </font>
    <font>
      <sz val="11"/>
      <color theme="1"/>
      <name val="Calibri"/>
      <family val="2"/>
      <scheme val="minor"/>
    </font>
    <font>
      <b/>
      <sz val="11"/>
      <color theme="1"/>
      <name val="Calibri"/>
      <family val="2"/>
      <scheme val="minor"/>
    </font>
    <font>
      <sz val="11"/>
      <name val="Calibri"/>
      <family val="2"/>
      <scheme val="minor"/>
    </font>
    <font>
      <sz val="11"/>
      <color rgb="FFFF0000"/>
      <name val="Calibri"/>
      <family val="2"/>
      <scheme val="minor"/>
    </font>
    <font>
      <sz val="11"/>
      <color rgb="FF231F1F"/>
      <name val="Segoe UI"/>
      <family val="2"/>
    </font>
    <font>
      <sz val="11"/>
      <color rgb="FF002060"/>
      <name val="Calibri"/>
      <family val="2"/>
    </font>
    <font>
      <sz val="10"/>
      <color theme="1"/>
      <name val="Arial"/>
      <family val="2"/>
    </font>
    <font>
      <sz val="11"/>
      <color rgb="FF000000"/>
      <name val="Calibri"/>
      <family val="2"/>
    </font>
    <font>
      <sz val="11"/>
      <color rgb="FF06C698"/>
      <name val="Calibri"/>
      <family val="2"/>
    </font>
  </fonts>
  <fills count="12">
    <fill>
      <patternFill patternType="none"/>
    </fill>
    <fill>
      <patternFill patternType="gray125"/>
    </fill>
    <fill>
      <patternFill patternType="solid">
        <fgColor theme="6" tint="0.79998168889431442"/>
        <bgColor indexed="64"/>
      </patternFill>
    </fill>
    <fill>
      <patternFill patternType="solid">
        <fgColor rgb="FF99C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rgb="FFD9D9D9"/>
        <bgColor rgb="FF000000"/>
      </patternFill>
    </fill>
    <fill>
      <patternFill patternType="solid">
        <fgColor theme="2" tint="-0.249977111117893"/>
        <bgColor indexed="64"/>
      </patternFill>
    </fill>
  </fills>
  <borders count="39">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thin">
        <color indexed="64"/>
      </left>
      <right/>
      <top style="medium">
        <color indexed="64"/>
      </top>
      <bottom/>
      <diagonal/>
    </border>
    <border>
      <left/>
      <right/>
      <top/>
      <bottom style="medium">
        <color indexed="64"/>
      </bottom>
      <diagonal/>
    </border>
    <border>
      <left style="thin">
        <color indexed="64"/>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theme="4" tint="0.39997558519241921"/>
      </left>
      <right style="thin">
        <color rgb="FF053D5F"/>
      </right>
      <top style="thin">
        <color theme="4" tint="0.39997558519241921"/>
      </top>
      <bottom style="thin">
        <color rgb="FF053D5F"/>
      </bottom>
      <diagonal/>
    </border>
    <border>
      <left/>
      <right style="thin">
        <color indexed="64"/>
      </right>
      <top style="thin">
        <color theme="4" tint="0.39997558519241921"/>
      </top>
      <bottom style="thin">
        <color rgb="FF053D5F"/>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indexed="64"/>
      </left>
      <right/>
      <top/>
      <bottom style="thin">
        <color rgb="FF000000"/>
      </bottom>
      <diagonal/>
    </border>
    <border>
      <left/>
      <right/>
      <top/>
      <bottom style="thin">
        <color rgb="FF000000"/>
      </bottom>
      <diagonal/>
    </border>
    <border>
      <left style="thin">
        <color indexed="64"/>
      </left>
      <right style="thin">
        <color indexed="64"/>
      </right>
      <top/>
      <bottom/>
      <diagonal/>
    </border>
  </borders>
  <cellStyleXfs count="4">
    <xf numFmtId="0" fontId="0" fillId="0" borderId="0"/>
    <xf numFmtId="0" fontId="3" fillId="0" borderId="0" applyNumberFormat="0" applyFill="0" applyBorder="0" applyAlignment="0" applyProtection="0"/>
    <xf numFmtId="43" fontId="6" fillId="0" borderId="0" applyFont="0" applyFill="0" applyBorder="0" applyAlignment="0" applyProtection="0"/>
    <xf numFmtId="0" fontId="12" fillId="0" borderId="0"/>
  </cellStyleXfs>
  <cellXfs count="138">
    <xf numFmtId="0" fontId="0" fillId="0" borderId="0" xfId="0"/>
    <xf numFmtId="0" fontId="1" fillId="0" borderId="0" xfId="0" applyFont="1"/>
    <xf numFmtId="0" fontId="2" fillId="0" borderId="0" xfId="0" applyFont="1"/>
    <xf numFmtId="0" fontId="0" fillId="0" borderId="0" xfId="0" applyAlignment="1">
      <alignment horizontal="center"/>
    </xf>
    <xf numFmtId="0" fontId="1" fillId="0" borderId="0" xfId="0" applyFont="1" applyAlignment="1">
      <alignment horizontal="left" vertical="top"/>
    </xf>
    <xf numFmtId="0" fontId="0" fillId="0" borderId="1" xfId="0" applyBorder="1"/>
    <xf numFmtId="0" fontId="3" fillId="0" borderId="0" xfId="1"/>
    <xf numFmtId="0" fontId="0" fillId="0" borderId="0" xfId="0" applyAlignment="1">
      <alignment vertical="center"/>
    </xf>
    <xf numFmtId="0" fontId="5" fillId="3" borderId="0" xfId="0" applyFont="1" applyFill="1"/>
    <xf numFmtId="0" fontId="4" fillId="3" borderId="1" xfId="0" applyFont="1" applyFill="1" applyBorder="1"/>
    <xf numFmtId="0" fontId="0" fillId="4" borderId="6" xfId="0" applyFill="1" applyBorder="1" applyAlignment="1">
      <alignment horizontal="center"/>
    </xf>
    <xf numFmtId="0" fontId="0" fillId="4" borderId="20" xfId="0" applyFill="1" applyBorder="1"/>
    <xf numFmtId="0" fontId="0" fillId="4" borderId="6" xfId="0" applyFill="1" applyBorder="1"/>
    <xf numFmtId="0" fontId="0" fillId="4" borderId="7" xfId="0" applyFill="1" applyBorder="1"/>
    <xf numFmtId="0" fontId="0" fillId="5" borderId="10" xfId="0" applyFill="1" applyBorder="1" applyAlignment="1">
      <alignment horizontal="center"/>
    </xf>
    <xf numFmtId="0" fontId="0" fillId="5" borderId="19" xfId="0" applyFill="1" applyBorder="1"/>
    <xf numFmtId="0" fontId="0" fillId="5" borderId="10" xfId="0" applyFill="1" applyBorder="1"/>
    <xf numFmtId="0" fontId="0" fillId="5" borderId="11" xfId="0" applyFill="1" applyBorder="1"/>
    <xf numFmtId="0" fontId="0" fillId="2" borderId="21" xfId="0" applyFill="1" applyBorder="1"/>
    <xf numFmtId="0" fontId="0" fillId="2" borderId="8" xfId="0" applyFill="1" applyBorder="1"/>
    <xf numFmtId="0" fontId="0" fillId="2" borderId="9" xfId="0" applyFill="1" applyBorder="1"/>
    <xf numFmtId="0" fontId="0" fillId="2" borderId="18" xfId="0" applyFill="1" applyBorder="1"/>
    <xf numFmtId="0" fontId="0" fillId="2" borderId="12" xfId="0" applyFill="1" applyBorder="1"/>
    <xf numFmtId="0" fontId="0" fillId="2" borderId="0" xfId="0" applyFill="1"/>
    <xf numFmtId="0" fontId="0" fillId="2" borderId="2" xfId="0" applyFill="1" applyBorder="1"/>
    <xf numFmtId="0" fontId="0" fillId="2" borderId="22" xfId="0" applyFill="1" applyBorder="1"/>
    <xf numFmtId="0" fontId="0" fillId="2" borderId="1" xfId="0" applyFill="1" applyBorder="1"/>
    <xf numFmtId="0" fontId="0" fillId="2" borderId="3" xfId="0" applyFill="1" applyBorder="1"/>
    <xf numFmtId="16" fontId="0" fillId="2" borderId="0" xfId="0" applyNumberFormat="1" applyFill="1" applyAlignment="1">
      <alignment horizontal="center"/>
    </xf>
    <xf numFmtId="16" fontId="0" fillId="2" borderId="1" xfId="0" applyNumberFormat="1" applyFill="1" applyBorder="1" applyAlignment="1">
      <alignment horizontal="center"/>
    </xf>
    <xf numFmtId="16" fontId="0" fillId="2" borderId="4" xfId="0" applyNumberFormat="1" applyFill="1" applyBorder="1" applyAlignment="1">
      <alignment horizontal="center"/>
    </xf>
    <xf numFmtId="0" fontId="0" fillId="2" borderId="23" xfId="0" applyFill="1" applyBorder="1"/>
    <xf numFmtId="0" fontId="0" fillId="2" borderId="4" xfId="0" applyFill="1" applyBorder="1"/>
    <xf numFmtId="0" fontId="0" fillId="2" borderId="5" xfId="0" applyFill="1" applyBorder="1"/>
    <xf numFmtId="0" fontId="0" fillId="2" borderId="0" xfId="0" applyFill="1" applyAlignment="1">
      <alignment horizontal="center"/>
    </xf>
    <xf numFmtId="0" fontId="4" fillId="3" borderId="14" xfId="0" applyFont="1" applyFill="1" applyBorder="1" applyAlignment="1">
      <alignment horizontal="center"/>
    </xf>
    <xf numFmtId="0" fontId="4" fillId="3" borderId="6" xfId="0" applyFont="1" applyFill="1" applyBorder="1"/>
    <xf numFmtId="0" fontId="4" fillId="3" borderId="24" xfId="0" applyFont="1" applyFill="1" applyBorder="1"/>
    <xf numFmtId="0" fontId="4" fillId="3" borderId="20" xfId="0" applyFont="1" applyFill="1" applyBorder="1"/>
    <xf numFmtId="0" fontId="4" fillId="3" borderId="14" xfId="0" applyFont="1" applyFill="1" applyBorder="1" applyAlignment="1">
      <alignment horizontal="right"/>
    </xf>
    <xf numFmtId="0" fontId="4" fillId="3" borderId="7" xfId="0" applyFont="1" applyFill="1" applyBorder="1"/>
    <xf numFmtId="0" fontId="4" fillId="3" borderId="25" xfId="0" applyFont="1" applyFill="1" applyBorder="1"/>
    <xf numFmtId="0" fontId="0" fillId="0" borderId="0" xfId="0" applyAlignment="1">
      <alignment horizontal="center" vertical="center"/>
    </xf>
    <xf numFmtId="0" fontId="4" fillId="3" borderId="0" xfId="0" applyFont="1" applyFill="1" applyAlignment="1">
      <alignment vertical="center" wrapText="1"/>
    </xf>
    <xf numFmtId="0" fontId="4" fillId="3"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wrapText="1"/>
    </xf>
    <xf numFmtId="43" fontId="0" fillId="5" borderId="11" xfId="2" applyFont="1" applyFill="1" applyBorder="1"/>
    <xf numFmtId="43" fontId="0" fillId="4" borderId="7" xfId="2" applyFont="1" applyFill="1" applyBorder="1"/>
    <xf numFmtId="43" fontId="0" fillId="2" borderId="2" xfId="2" applyFont="1" applyFill="1" applyBorder="1"/>
    <xf numFmtId="43" fontId="4" fillId="3" borderId="6" xfId="2" applyFont="1" applyFill="1" applyBorder="1"/>
    <xf numFmtId="0" fontId="7" fillId="0" borderId="0" xfId="0" applyFont="1"/>
    <xf numFmtId="0" fontId="0" fillId="6" borderId="0" xfId="0" applyFill="1"/>
    <xf numFmtId="0" fontId="7" fillId="0" borderId="0" xfId="0" applyFont="1" applyAlignment="1">
      <alignment wrapText="1"/>
    </xf>
    <xf numFmtId="43" fontId="0" fillId="4" borderId="14" xfId="2" applyFont="1" applyFill="1" applyBorder="1"/>
    <xf numFmtId="43" fontId="0" fillId="5" borderId="13" xfId="2" applyFont="1" applyFill="1" applyBorder="1"/>
    <xf numFmtId="43" fontId="0" fillId="2" borderId="12" xfId="2" applyFont="1" applyFill="1" applyBorder="1"/>
    <xf numFmtId="0" fontId="0" fillId="0" borderId="0" xfId="0" applyAlignment="1">
      <alignment horizontal="left" vertical="center"/>
    </xf>
    <xf numFmtId="0" fontId="0" fillId="0" borderId="0" xfId="0" applyAlignment="1">
      <alignment horizontal="right" vertical="center"/>
    </xf>
    <xf numFmtId="0" fontId="0" fillId="2" borderId="20" xfId="0" applyFill="1" applyBorder="1"/>
    <xf numFmtId="0" fontId="0" fillId="2" borderId="7" xfId="0" applyFill="1" applyBorder="1"/>
    <xf numFmtId="43" fontId="0" fillId="2" borderId="7" xfId="2" applyFont="1" applyFill="1" applyBorder="1"/>
    <xf numFmtId="0" fontId="8" fillId="2" borderId="0" xfId="0" applyFont="1" applyFill="1"/>
    <xf numFmtId="43" fontId="0" fillId="2" borderId="15" xfId="2" applyFont="1" applyFill="1" applyBorder="1" applyAlignment="1">
      <alignment horizontal="right"/>
    </xf>
    <xf numFmtId="43" fontId="0" fillId="2" borderId="9" xfId="2" applyFont="1" applyFill="1" applyBorder="1" applyAlignment="1">
      <alignment horizontal="right"/>
    </xf>
    <xf numFmtId="0" fontId="8" fillId="2" borderId="9" xfId="0" applyFont="1" applyFill="1" applyBorder="1"/>
    <xf numFmtId="16" fontId="0" fillId="0" borderId="0" xfId="0" applyNumberFormat="1" applyAlignment="1">
      <alignment horizontal="center"/>
    </xf>
    <xf numFmtId="43" fontId="0" fillId="2" borderId="12" xfId="2" applyFont="1" applyFill="1" applyBorder="1" applyAlignment="1">
      <alignment horizontal="right"/>
    </xf>
    <xf numFmtId="43" fontId="0" fillId="2" borderId="16" xfId="2" applyFont="1" applyFill="1" applyBorder="1"/>
    <xf numFmtId="43" fontId="0" fillId="2" borderId="17" xfId="2" applyFont="1" applyFill="1" applyBorder="1"/>
    <xf numFmtId="43" fontId="0" fillId="2" borderId="3" xfId="2" applyFont="1" applyFill="1" applyBorder="1"/>
    <xf numFmtId="43" fontId="0" fillId="2" borderId="5" xfId="2" applyFont="1" applyFill="1" applyBorder="1"/>
    <xf numFmtId="43" fontId="0" fillId="0" borderId="0" xfId="0" applyNumberFormat="1"/>
    <xf numFmtId="0" fontId="0" fillId="2" borderId="26" xfId="0" applyFill="1" applyBorder="1" applyAlignment="1">
      <alignment horizontal="center"/>
    </xf>
    <xf numFmtId="0" fontId="0" fillId="2" borderId="27" xfId="0" applyFill="1" applyBorder="1"/>
    <xf numFmtId="0" fontId="0" fillId="2" borderId="28" xfId="0" applyFill="1" applyBorder="1"/>
    <xf numFmtId="0" fontId="0" fillId="2" borderId="26" xfId="0" applyFill="1" applyBorder="1"/>
    <xf numFmtId="0" fontId="0" fillId="2" borderId="29" xfId="0" applyFill="1" applyBorder="1"/>
    <xf numFmtId="165" fontId="0" fillId="0" borderId="0" xfId="0" applyNumberFormat="1"/>
    <xf numFmtId="165" fontId="0" fillId="2" borderId="2" xfId="0" applyNumberFormat="1" applyFill="1" applyBorder="1"/>
    <xf numFmtId="0" fontId="9" fillId="2" borderId="2" xfId="0" applyFont="1" applyFill="1" applyBorder="1"/>
    <xf numFmtId="0" fontId="0" fillId="2" borderId="19" xfId="0" applyFill="1" applyBorder="1"/>
    <xf numFmtId="0" fontId="0" fillId="2" borderId="11" xfId="0" applyFill="1" applyBorder="1"/>
    <xf numFmtId="43" fontId="0" fillId="2" borderId="11" xfId="2" applyFont="1" applyFill="1" applyBorder="1"/>
    <xf numFmtId="0" fontId="8" fillId="0" borderId="0" xfId="0" applyFont="1" applyAlignment="1">
      <alignment horizontal="left" vertical="center"/>
    </xf>
    <xf numFmtId="0" fontId="8" fillId="0" borderId="0" xfId="0" applyFont="1" applyAlignment="1">
      <alignment horizontal="right" vertical="center"/>
    </xf>
    <xf numFmtId="0" fontId="8" fillId="0" borderId="0" xfId="0" applyFont="1"/>
    <xf numFmtId="0" fontId="0" fillId="2" borderId="2" xfId="0" applyFill="1" applyBorder="1" applyAlignment="1">
      <alignment wrapText="1"/>
    </xf>
    <xf numFmtId="0" fontId="0" fillId="0" borderId="0" xfId="0" applyAlignment="1">
      <alignment horizontal="left" vertical="center" indent="1"/>
    </xf>
    <xf numFmtId="0" fontId="0" fillId="0" borderId="0" xfId="0" applyAlignment="1">
      <alignment horizontal="left" vertical="center" indent="4"/>
    </xf>
    <xf numFmtId="43" fontId="0" fillId="2" borderId="0" xfId="2" applyFont="1" applyFill="1" applyBorder="1"/>
    <xf numFmtId="0" fontId="0" fillId="2" borderId="30" xfId="0" applyFill="1" applyBorder="1"/>
    <xf numFmtId="166" fontId="0" fillId="0" borderId="0" xfId="0" applyNumberFormat="1"/>
    <xf numFmtId="167" fontId="0" fillId="0" borderId="0" xfId="0" applyNumberFormat="1"/>
    <xf numFmtId="166" fontId="0" fillId="2" borderId="2" xfId="2" applyNumberFormat="1" applyFont="1" applyFill="1" applyBorder="1" applyAlignment="1">
      <alignment horizontal="left" indent="9"/>
    </xf>
    <xf numFmtId="0" fontId="10" fillId="0" borderId="0" xfId="0" applyFont="1"/>
    <xf numFmtId="164" fontId="0" fillId="0" borderId="0" xfId="0" applyNumberFormat="1"/>
    <xf numFmtId="168" fontId="0" fillId="0" borderId="0" xfId="0" applyNumberFormat="1"/>
    <xf numFmtId="0" fontId="7" fillId="8" borderId="1" xfId="0" applyFont="1" applyFill="1" applyBorder="1"/>
    <xf numFmtId="0" fontId="7" fillId="7" borderId="1" xfId="0" applyFont="1" applyFill="1" applyBorder="1"/>
    <xf numFmtId="0" fontId="7" fillId="8" borderId="1" xfId="0" applyFont="1" applyFill="1" applyBorder="1" applyAlignment="1">
      <alignment horizontal="left" wrapText="1"/>
    </xf>
    <xf numFmtId="0" fontId="7" fillId="7" borderId="0" xfId="0" applyFont="1" applyFill="1"/>
    <xf numFmtId="0" fontId="7" fillId="8" borderId="0" xfId="0" applyFont="1" applyFill="1" applyAlignment="1">
      <alignment wrapText="1"/>
    </xf>
    <xf numFmtId="0" fontId="7" fillId="7" borderId="0" xfId="0" applyFont="1" applyFill="1" applyAlignment="1">
      <alignment wrapText="1"/>
    </xf>
    <xf numFmtId="0" fontId="0" fillId="8" borderId="0" xfId="0" applyFill="1"/>
    <xf numFmtId="0" fontId="11" fillId="10" borderId="32" xfId="0" applyFont="1" applyFill="1" applyBorder="1"/>
    <xf numFmtId="0" fontId="11" fillId="9" borderId="33" xfId="0" applyFont="1" applyFill="1" applyBorder="1"/>
    <xf numFmtId="0" fontId="0" fillId="0" borderId="0" xfId="0" applyAlignment="1">
      <alignment horizontal="center" wrapText="1"/>
    </xf>
    <xf numFmtId="0" fontId="11" fillId="9" borderId="0" xfId="0" applyFont="1" applyFill="1"/>
    <xf numFmtId="0" fontId="0" fillId="0" borderId="34" xfId="0" applyBorder="1" applyAlignment="1">
      <alignment horizontal="left" vertical="center"/>
    </xf>
    <xf numFmtId="0" fontId="0" fillId="0" borderId="34" xfId="0" applyBorder="1" applyAlignment="1">
      <alignment horizontal="right" vertical="center"/>
    </xf>
    <xf numFmtId="0" fontId="0" fillId="9" borderId="34" xfId="0" applyFill="1" applyBorder="1" applyAlignment="1">
      <alignment horizontal="left" vertical="center"/>
    </xf>
    <xf numFmtId="0" fontId="0" fillId="9" borderId="34" xfId="0" applyFill="1" applyBorder="1" applyAlignment="1">
      <alignment horizontal="right" vertical="center"/>
    </xf>
    <xf numFmtId="0" fontId="0" fillId="9" borderId="35" xfId="0" applyFill="1" applyBorder="1" applyAlignment="1">
      <alignment horizontal="left" vertical="center"/>
    </xf>
    <xf numFmtId="0" fontId="0" fillId="9" borderId="35" xfId="0" applyFill="1" applyBorder="1" applyAlignment="1">
      <alignment horizontal="right" vertical="center"/>
    </xf>
    <xf numFmtId="0" fontId="7" fillId="7" borderId="3" xfId="0" applyFont="1" applyFill="1" applyBorder="1"/>
    <xf numFmtId="0" fontId="7" fillId="7" borderId="3" xfId="0" applyFont="1" applyFill="1" applyBorder="1" applyAlignment="1">
      <alignment horizontal="center"/>
    </xf>
    <xf numFmtId="0" fontId="7" fillId="7" borderId="1" xfId="0" applyFont="1" applyFill="1" applyBorder="1" applyAlignment="1">
      <alignment horizontal="center"/>
    </xf>
    <xf numFmtId="0" fontId="0" fillId="0" borderId="2" xfId="0" applyBorder="1"/>
    <xf numFmtId="0" fontId="0" fillId="0" borderId="38" xfId="0" applyBorder="1"/>
    <xf numFmtId="0" fontId="13" fillId="0" borderId="2" xfId="0" applyFont="1" applyBorder="1"/>
    <xf numFmtId="0" fontId="14" fillId="0" borderId="0" xfId="0" applyFont="1"/>
    <xf numFmtId="0" fontId="13" fillId="0" borderId="0" xfId="0" applyFont="1"/>
    <xf numFmtId="0" fontId="13" fillId="0" borderId="38" xfId="0" applyFont="1" applyBorder="1"/>
    <xf numFmtId="0" fontId="0" fillId="11" borderId="0" xfId="0" applyFill="1"/>
    <xf numFmtId="0" fontId="0" fillId="2" borderId="8" xfId="0" applyFill="1" applyBorder="1" applyAlignment="1">
      <alignment horizontal="center" vertical="top" wrapText="1"/>
    </xf>
    <xf numFmtId="0" fontId="0" fillId="2" borderId="0" xfId="0" applyFill="1" applyAlignment="1">
      <alignment horizontal="center" vertical="top" wrapText="1"/>
    </xf>
    <xf numFmtId="0" fontId="0" fillId="2" borderId="1" xfId="0" applyFill="1" applyBorder="1" applyAlignment="1">
      <alignment horizontal="center" vertical="top" wrapText="1"/>
    </xf>
    <xf numFmtId="0" fontId="0" fillId="2" borderId="31" xfId="0" applyFill="1" applyBorder="1" applyAlignment="1">
      <alignment horizontal="center" vertical="top"/>
    </xf>
    <xf numFmtId="0" fontId="0" fillId="2" borderId="0" xfId="0" applyFill="1" applyAlignment="1">
      <alignment horizontal="center" vertical="top"/>
    </xf>
    <xf numFmtId="0" fontId="0" fillId="2" borderId="1" xfId="0" applyFill="1" applyBorder="1" applyAlignment="1">
      <alignment horizontal="center" vertical="top"/>
    </xf>
    <xf numFmtId="0" fontId="4" fillId="3" borderId="0" xfId="0" applyFont="1" applyFill="1" applyAlignment="1">
      <alignment horizontal="left"/>
    </xf>
    <xf numFmtId="0" fontId="4" fillId="3" borderId="0" xfId="0" applyFont="1" applyFill="1" applyAlignment="1">
      <alignment horizontal="center"/>
    </xf>
    <xf numFmtId="0" fontId="7" fillId="7" borderId="36" xfId="0" applyFont="1" applyFill="1" applyBorder="1" applyAlignment="1">
      <alignment horizontal="center"/>
    </xf>
    <xf numFmtId="0" fontId="7" fillId="7" borderId="37" xfId="0" applyFont="1" applyFill="1" applyBorder="1" applyAlignment="1">
      <alignment horizontal="center"/>
    </xf>
    <xf numFmtId="0" fontId="0" fillId="0" borderId="31" xfId="0" applyBorder="1" applyAlignment="1">
      <alignment horizontal="center"/>
    </xf>
    <xf numFmtId="0" fontId="0" fillId="0" borderId="0" xfId="0" applyAlignment="1">
      <alignment horizontal="center"/>
    </xf>
    <xf numFmtId="0" fontId="0" fillId="0" borderId="0" xfId="0" applyAlignment="1">
      <alignment horizontal="center" wrapText="1"/>
    </xf>
  </cellXfs>
  <cellStyles count="4">
    <cellStyle name="Komma" xfId="2" builtinId="3"/>
    <cellStyle name="Link" xfId="1" builtinId="8"/>
    <cellStyle name="Standard" xfId="0" builtinId="0"/>
    <cellStyle name="Standard 2" xfId="3" xr:uid="{68B23687-AA03-424A-B949-61383D19C4A6}"/>
  </cellStyles>
  <dxfs count="13">
    <dxf>
      <font>
        <color theme="0"/>
      </font>
      <fill>
        <patternFill>
          <bgColor rgb="FFC00000"/>
        </patternFill>
      </fill>
    </dxf>
    <dxf>
      <font>
        <b val="0"/>
        <i val="0"/>
        <color rgb="FF06C698"/>
      </font>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right" vertical="center" textRotation="0" wrapText="0"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alignment horizontal="left" vertical="center" textRotation="0" wrapText="0" indent="0" justifyLastLine="0" shrinkToFit="0" readingOrder="0"/>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1"/>
        <name val="Calibri"/>
        <family val="2"/>
        <scheme val="minor"/>
      </font>
    </dxf>
    <dxf>
      <alignment horizontal="right" vertical="center" textRotation="0" wrapText="0" indent="0" justifyLastLine="0" shrinkToFit="0" readingOrder="0"/>
    </dxf>
    <dxf>
      <alignment horizontal="left" vertical="center" textRotation="0" wrapText="0" indent="0" justifyLastLine="0" shrinkToFit="0" readingOrder="0"/>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dxf>
  </dxfs>
  <tableStyles count="0" defaultTableStyle="TableStyleMedium2" defaultPivotStyle="PivotStyleLight16"/>
  <colors>
    <mruColors>
      <color rgb="FF99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Emissionen der ETA-Forschungsgruppe nach Scopes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shade val="65000"/>
                </a:schemeClr>
              </a:solidFill>
              <a:ln w="19050">
                <a:solidFill>
                  <a:schemeClr val="lt1"/>
                </a:solidFill>
              </a:ln>
              <a:effectLst/>
            </c:spPr>
            <c:extLst>
              <c:ext xmlns:c16="http://schemas.microsoft.com/office/drawing/2014/chart" uri="{C3380CC4-5D6E-409C-BE32-E72D297353CC}">
                <c16:uniqueId val="{00000001-C32B-42E4-997E-88FFC106F41C}"/>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C32B-42E4-997E-88FFC106F41C}"/>
              </c:ext>
            </c:extLst>
          </c:dPt>
          <c:dPt>
            <c:idx val="2"/>
            <c:bubble3D val="0"/>
            <c:spPr>
              <a:solidFill>
                <a:schemeClr val="accent6">
                  <a:tint val="65000"/>
                </a:schemeClr>
              </a:solidFill>
              <a:ln w="19050">
                <a:solidFill>
                  <a:schemeClr val="lt1"/>
                </a:solidFill>
              </a:ln>
              <a:effectLst/>
            </c:spPr>
            <c:extLst>
              <c:ext xmlns:c16="http://schemas.microsoft.com/office/drawing/2014/chart" uri="{C3380CC4-5D6E-409C-BE32-E72D297353CC}">
                <c16:uniqueId val="{00000005-C32B-42E4-997E-88FFC106F41C}"/>
              </c:ext>
            </c:extLst>
          </c:dPt>
          <c:cat>
            <c:strRef>
              <c:f>(Zusammenfassung!$A$4,Zusammenfassung!$A$5,Zusammenfassung!$A$35)</c:f>
              <c:strCache>
                <c:ptCount val="3"/>
                <c:pt idx="0">
                  <c:v>Scope 1</c:v>
                </c:pt>
                <c:pt idx="1">
                  <c:v>Scope 2</c:v>
                </c:pt>
                <c:pt idx="2">
                  <c:v>Scope 3</c:v>
                </c:pt>
              </c:strCache>
            </c:strRef>
          </c:cat>
          <c:val>
            <c:numRef>
              <c:f>(Zusammenfassung!$F$4,Zusammenfassung!$F$5,Zusammenfassung!$F$35)</c:f>
              <c:numCache>
                <c:formatCode>_(* #,##0.00_);_(* \(#,##0.00\);_(* "-"??_);_(@_)</c:formatCode>
                <c:ptCount val="3"/>
                <c:pt idx="0">
                  <c:v>23602.342245019085</c:v>
                </c:pt>
                <c:pt idx="1">
                  <c:v>34024.604025942375</c:v>
                </c:pt>
                <c:pt idx="2">
                  <c:v>205820.50121008739</c:v>
                </c:pt>
              </c:numCache>
            </c:numRef>
          </c:val>
          <c:extLst>
            <c:ext xmlns:c16="http://schemas.microsoft.com/office/drawing/2014/chart" uri="{C3380CC4-5D6E-409C-BE32-E72D297353CC}">
              <c16:uniqueId val="{00000000-04D0-410C-8A45-78632E99D886}"/>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Aufteilung</a:t>
            </a:r>
            <a:r>
              <a:rPr lang="de-DE" baseline="0"/>
              <a:t> der Scope 3 Emissionen</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tint val="50000"/>
                </a:schemeClr>
              </a:solidFill>
              <a:ln w="19050">
                <a:solidFill>
                  <a:schemeClr val="lt1"/>
                </a:solidFill>
              </a:ln>
              <a:effectLst/>
            </c:spPr>
            <c:extLst>
              <c:ext xmlns:c16="http://schemas.microsoft.com/office/drawing/2014/chart" uri="{C3380CC4-5D6E-409C-BE32-E72D297353CC}">
                <c16:uniqueId val="{00000001-191F-474E-8810-F1306CE97500}"/>
              </c:ext>
            </c:extLst>
          </c:dPt>
          <c:dPt>
            <c:idx val="1"/>
            <c:bubble3D val="0"/>
            <c:spPr>
              <a:solidFill>
                <a:schemeClr val="accent6">
                  <a:tint val="70000"/>
                </a:schemeClr>
              </a:solidFill>
              <a:ln w="19050">
                <a:solidFill>
                  <a:schemeClr val="lt1"/>
                </a:solidFill>
              </a:ln>
              <a:effectLst/>
            </c:spPr>
            <c:extLst>
              <c:ext xmlns:c16="http://schemas.microsoft.com/office/drawing/2014/chart" uri="{C3380CC4-5D6E-409C-BE32-E72D297353CC}">
                <c16:uniqueId val="{00000003-191F-474E-8810-F1306CE97500}"/>
              </c:ext>
            </c:extLst>
          </c:dPt>
          <c:dPt>
            <c:idx val="2"/>
            <c:bubble3D val="0"/>
            <c:spPr>
              <a:solidFill>
                <a:schemeClr val="accent6">
                  <a:tint val="90000"/>
                </a:schemeClr>
              </a:solidFill>
              <a:ln w="19050">
                <a:solidFill>
                  <a:schemeClr val="lt1"/>
                </a:solidFill>
              </a:ln>
              <a:effectLst/>
            </c:spPr>
            <c:extLst>
              <c:ext xmlns:c16="http://schemas.microsoft.com/office/drawing/2014/chart" uri="{C3380CC4-5D6E-409C-BE32-E72D297353CC}">
                <c16:uniqueId val="{00000005-191F-474E-8810-F1306CE97500}"/>
              </c:ext>
            </c:extLst>
          </c:dPt>
          <c:dPt>
            <c:idx val="3"/>
            <c:bubble3D val="0"/>
            <c:spPr>
              <a:solidFill>
                <a:schemeClr val="accent6">
                  <a:shade val="90000"/>
                </a:schemeClr>
              </a:solidFill>
              <a:ln w="19050">
                <a:solidFill>
                  <a:schemeClr val="lt1"/>
                </a:solidFill>
              </a:ln>
              <a:effectLst/>
            </c:spPr>
            <c:extLst>
              <c:ext xmlns:c16="http://schemas.microsoft.com/office/drawing/2014/chart" uri="{C3380CC4-5D6E-409C-BE32-E72D297353CC}">
                <c16:uniqueId val="{00000007-191F-474E-8810-F1306CE97500}"/>
              </c:ext>
            </c:extLst>
          </c:dPt>
          <c:dPt>
            <c:idx val="4"/>
            <c:bubble3D val="0"/>
            <c:spPr>
              <a:solidFill>
                <a:schemeClr val="accent6">
                  <a:shade val="70000"/>
                </a:schemeClr>
              </a:solidFill>
              <a:ln w="19050">
                <a:solidFill>
                  <a:schemeClr val="lt1"/>
                </a:solidFill>
              </a:ln>
              <a:effectLst/>
            </c:spPr>
            <c:extLst>
              <c:ext xmlns:c16="http://schemas.microsoft.com/office/drawing/2014/chart" uri="{C3380CC4-5D6E-409C-BE32-E72D297353CC}">
                <c16:uniqueId val="{00000009-191F-474E-8810-F1306CE97500}"/>
              </c:ext>
            </c:extLst>
          </c:dPt>
          <c:dPt>
            <c:idx val="5"/>
            <c:bubble3D val="0"/>
            <c:spPr>
              <a:solidFill>
                <a:schemeClr val="accent6">
                  <a:shade val="50000"/>
                </a:schemeClr>
              </a:solidFill>
              <a:ln w="19050">
                <a:solidFill>
                  <a:schemeClr val="lt1"/>
                </a:solidFill>
              </a:ln>
              <a:effectLst/>
            </c:spPr>
            <c:extLst>
              <c:ext xmlns:c16="http://schemas.microsoft.com/office/drawing/2014/chart" uri="{C3380CC4-5D6E-409C-BE32-E72D297353CC}">
                <c16:uniqueId val="{0000000B-191F-474E-8810-F1306CE97500}"/>
              </c:ext>
            </c:extLst>
          </c:dPt>
          <c:cat>
            <c:strRef>
              <c:f>Zusammenfassung!$A$38:$A$43</c:f>
              <c:strCache>
                <c:ptCount val="6"/>
                <c:pt idx="0">
                  <c:v>Betriebsmittel</c:v>
                </c:pt>
                <c:pt idx="1">
                  <c:v>Energiebezogene Aktivitäten</c:v>
                </c:pt>
                <c:pt idx="2">
                  <c:v>Vorgelagerter Transport</c:v>
                </c:pt>
                <c:pt idx="3">
                  <c:v>Abfälle</c:v>
                </c:pt>
                <c:pt idx="4">
                  <c:v>Dienstreisen</c:v>
                </c:pt>
                <c:pt idx="5">
                  <c:v>MA-Pendeln</c:v>
                </c:pt>
              </c:strCache>
            </c:strRef>
          </c:cat>
          <c:val>
            <c:numRef>
              <c:f>Zusammenfassung!$F$38:$F$43</c:f>
              <c:numCache>
                <c:formatCode>_(* #,##0.00_);_(* \(#,##0.00\);_(* "-"??_);_(@_)</c:formatCode>
                <c:ptCount val="6"/>
                <c:pt idx="0">
                  <c:v>2946.51146285</c:v>
                </c:pt>
                <c:pt idx="1">
                  <c:v>6454.1714891680567</c:v>
                </c:pt>
                <c:pt idx="2">
                  <c:v>5.67</c:v>
                </c:pt>
                <c:pt idx="3">
                  <c:v>2334.9423939000008</c:v>
                </c:pt>
                <c:pt idx="4">
                  <c:v>192717.25399999999</c:v>
                </c:pt>
                <c:pt idx="5">
                  <c:v>1349.5784200000001</c:v>
                </c:pt>
              </c:numCache>
            </c:numRef>
          </c:val>
          <c:extLst>
            <c:ext xmlns:c16="http://schemas.microsoft.com/office/drawing/2014/chart" uri="{C3380CC4-5D6E-409C-BE32-E72D297353CC}">
              <c16:uniqueId val="{00000000-B304-45DF-AFE0-37B6F76CAD1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Emissionen der ETA-Forschungsgruppe nach Scopes 2023,</a:t>
            </a:r>
            <a:r>
              <a:rPr lang="de-DE" baseline="0"/>
              <a:t> Scope 3 Emissionen aufgeteilt</a:t>
            </a:r>
            <a:endParaRPr lang="de-DE"/>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e-DE"/>
        </a:p>
      </c:txPr>
    </c:title>
    <c:autoTitleDeleted val="0"/>
    <c:plotArea>
      <c:layout/>
      <c:pieChart>
        <c:varyColors val="1"/>
        <c:ser>
          <c:idx val="0"/>
          <c:order val="0"/>
          <c:dPt>
            <c:idx val="0"/>
            <c:bubble3D val="0"/>
            <c:spPr>
              <a:solidFill>
                <a:schemeClr val="accent6">
                  <a:tint val="46000"/>
                </a:schemeClr>
              </a:solidFill>
              <a:ln w="19050">
                <a:solidFill>
                  <a:schemeClr val="lt1"/>
                </a:solidFill>
              </a:ln>
              <a:effectLst/>
            </c:spPr>
            <c:extLst>
              <c:ext xmlns:c16="http://schemas.microsoft.com/office/drawing/2014/chart" uri="{C3380CC4-5D6E-409C-BE32-E72D297353CC}">
                <c16:uniqueId val="{00000001-3F29-4E53-A550-66FA9309A5B4}"/>
              </c:ext>
            </c:extLst>
          </c:dPt>
          <c:dPt>
            <c:idx val="1"/>
            <c:bubble3D val="0"/>
            <c:spPr>
              <a:solidFill>
                <a:schemeClr val="accent6">
                  <a:tint val="62000"/>
                </a:schemeClr>
              </a:solidFill>
              <a:ln w="19050">
                <a:solidFill>
                  <a:schemeClr val="lt1"/>
                </a:solidFill>
              </a:ln>
              <a:effectLst/>
            </c:spPr>
            <c:extLst>
              <c:ext xmlns:c16="http://schemas.microsoft.com/office/drawing/2014/chart" uri="{C3380CC4-5D6E-409C-BE32-E72D297353CC}">
                <c16:uniqueId val="{00000003-3F29-4E53-A550-66FA9309A5B4}"/>
              </c:ext>
            </c:extLst>
          </c:dPt>
          <c:dPt>
            <c:idx val="2"/>
            <c:bubble3D val="0"/>
            <c:spPr>
              <a:solidFill>
                <a:schemeClr val="accent6">
                  <a:tint val="77000"/>
                </a:schemeClr>
              </a:solidFill>
              <a:ln w="19050">
                <a:solidFill>
                  <a:schemeClr val="lt1"/>
                </a:solidFill>
              </a:ln>
              <a:effectLst/>
            </c:spPr>
            <c:extLst>
              <c:ext xmlns:c16="http://schemas.microsoft.com/office/drawing/2014/chart" uri="{C3380CC4-5D6E-409C-BE32-E72D297353CC}">
                <c16:uniqueId val="{00000005-3F29-4E53-A550-66FA9309A5B4}"/>
              </c:ext>
            </c:extLst>
          </c:dPt>
          <c:dPt>
            <c:idx val="3"/>
            <c:bubble3D val="0"/>
            <c:spPr>
              <a:solidFill>
                <a:schemeClr val="accent6">
                  <a:tint val="93000"/>
                </a:schemeClr>
              </a:solidFill>
              <a:ln w="19050">
                <a:solidFill>
                  <a:schemeClr val="lt1"/>
                </a:solidFill>
              </a:ln>
              <a:effectLst/>
            </c:spPr>
            <c:extLst>
              <c:ext xmlns:c16="http://schemas.microsoft.com/office/drawing/2014/chart" uri="{C3380CC4-5D6E-409C-BE32-E72D297353CC}">
                <c16:uniqueId val="{00000007-3F29-4E53-A550-66FA9309A5B4}"/>
              </c:ext>
            </c:extLst>
          </c:dPt>
          <c:dPt>
            <c:idx val="4"/>
            <c:bubble3D val="0"/>
            <c:spPr>
              <a:solidFill>
                <a:schemeClr val="accent6">
                  <a:shade val="92000"/>
                </a:schemeClr>
              </a:solidFill>
              <a:ln w="19050">
                <a:solidFill>
                  <a:schemeClr val="lt1"/>
                </a:solidFill>
              </a:ln>
              <a:effectLst/>
            </c:spPr>
            <c:extLst>
              <c:ext xmlns:c16="http://schemas.microsoft.com/office/drawing/2014/chart" uri="{C3380CC4-5D6E-409C-BE32-E72D297353CC}">
                <c16:uniqueId val="{00000009-3F29-4E53-A550-66FA9309A5B4}"/>
              </c:ext>
            </c:extLst>
          </c:dPt>
          <c:dPt>
            <c:idx val="5"/>
            <c:bubble3D val="0"/>
            <c:spPr>
              <a:solidFill>
                <a:schemeClr val="accent6">
                  <a:shade val="76000"/>
                </a:schemeClr>
              </a:solidFill>
              <a:ln w="19050">
                <a:solidFill>
                  <a:schemeClr val="lt1"/>
                </a:solidFill>
              </a:ln>
              <a:effectLst/>
            </c:spPr>
            <c:extLst>
              <c:ext xmlns:c16="http://schemas.microsoft.com/office/drawing/2014/chart" uri="{C3380CC4-5D6E-409C-BE32-E72D297353CC}">
                <c16:uniqueId val="{0000000B-3F29-4E53-A550-66FA9309A5B4}"/>
              </c:ext>
            </c:extLst>
          </c:dPt>
          <c:dPt>
            <c:idx val="6"/>
            <c:bubble3D val="0"/>
            <c:spPr>
              <a:solidFill>
                <a:schemeClr val="accent6">
                  <a:shade val="61000"/>
                </a:schemeClr>
              </a:solidFill>
              <a:ln w="19050">
                <a:solidFill>
                  <a:schemeClr val="lt1"/>
                </a:solidFill>
              </a:ln>
              <a:effectLst/>
            </c:spPr>
            <c:extLst>
              <c:ext xmlns:c16="http://schemas.microsoft.com/office/drawing/2014/chart" uri="{C3380CC4-5D6E-409C-BE32-E72D297353CC}">
                <c16:uniqueId val="{0000000D-3F29-4E53-A550-66FA9309A5B4}"/>
              </c:ext>
            </c:extLst>
          </c:dPt>
          <c:dPt>
            <c:idx val="7"/>
            <c:bubble3D val="0"/>
            <c:spPr>
              <a:solidFill>
                <a:schemeClr val="accent6">
                  <a:shade val="45000"/>
                </a:schemeClr>
              </a:solidFill>
              <a:ln w="19050">
                <a:solidFill>
                  <a:schemeClr val="lt1"/>
                </a:solidFill>
              </a:ln>
              <a:effectLst/>
            </c:spPr>
            <c:extLst>
              <c:ext xmlns:c16="http://schemas.microsoft.com/office/drawing/2014/chart" uri="{C3380CC4-5D6E-409C-BE32-E72D297353CC}">
                <c16:uniqueId val="{0000000F-3F29-4E53-A550-66FA9309A5B4}"/>
              </c:ext>
            </c:extLst>
          </c:dPt>
          <c:cat>
            <c:strRef>
              <c:f>(Zusammenfassung!$A$4:$A$5,Zusammenfassung!$A$38:$A$43)</c:f>
              <c:strCache>
                <c:ptCount val="8"/>
                <c:pt idx="0">
                  <c:v>Scope 1</c:v>
                </c:pt>
                <c:pt idx="1">
                  <c:v>Scope 2</c:v>
                </c:pt>
                <c:pt idx="2">
                  <c:v>Betriebsmittel</c:v>
                </c:pt>
                <c:pt idx="3">
                  <c:v>Energiebezogene Aktivitäten</c:v>
                </c:pt>
                <c:pt idx="4">
                  <c:v>Vorgelagerter Transport</c:v>
                </c:pt>
                <c:pt idx="5">
                  <c:v>Abfälle</c:v>
                </c:pt>
                <c:pt idx="6">
                  <c:v>Dienstreisen</c:v>
                </c:pt>
                <c:pt idx="7">
                  <c:v>MA-Pendeln</c:v>
                </c:pt>
              </c:strCache>
            </c:strRef>
          </c:cat>
          <c:val>
            <c:numRef>
              <c:f>(Zusammenfassung!$F$4:$F$5,Zusammenfassung!$F$38:$F$43)</c:f>
              <c:numCache>
                <c:formatCode>_(* #,##0.00_);_(* \(#,##0.00\);_(* "-"??_);_(@_)</c:formatCode>
                <c:ptCount val="8"/>
                <c:pt idx="0">
                  <c:v>23602.342245019085</c:v>
                </c:pt>
                <c:pt idx="1">
                  <c:v>34024.604025942375</c:v>
                </c:pt>
                <c:pt idx="2">
                  <c:v>2946.51146285</c:v>
                </c:pt>
                <c:pt idx="3">
                  <c:v>6454.1714891680567</c:v>
                </c:pt>
                <c:pt idx="4">
                  <c:v>5.67</c:v>
                </c:pt>
                <c:pt idx="5">
                  <c:v>2334.9423939000008</c:v>
                </c:pt>
                <c:pt idx="6">
                  <c:v>192717.25399999999</c:v>
                </c:pt>
                <c:pt idx="7">
                  <c:v>1349.5784200000001</c:v>
                </c:pt>
              </c:numCache>
            </c:numRef>
          </c:val>
          <c:extLst>
            <c:ext xmlns:c16="http://schemas.microsoft.com/office/drawing/2014/chart" uri="{C3380CC4-5D6E-409C-BE32-E72D297353CC}">
              <c16:uniqueId val="{00000000-B4B1-42EF-A9E1-6768EB51FAB7}"/>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withinLinear" id="19">
  <a:schemeClr val="accent6"/>
</cs:colorStyle>
</file>

<file path=xl/charts/colors2.xml><?xml version="1.0" encoding="utf-8"?>
<cs:colorStyle xmlns:cs="http://schemas.microsoft.com/office/drawing/2012/chartStyle" xmlns:a="http://schemas.openxmlformats.org/drawingml/2006/main" meth="withinLinearReversed" id="26">
  <a:schemeClr val="accent6"/>
</cs:colorStyle>
</file>

<file path=xl/charts/colors3.xml><?xml version="1.0" encoding="utf-8"?>
<cs:colorStyle xmlns:cs="http://schemas.microsoft.com/office/drawing/2012/chartStyle" xmlns:a="http://schemas.openxmlformats.org/drawingml/2006/main" meth="withinLinearReversed" id="26">
  <a:schemeClr val="accent6"/>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46</xdr:row>
      <xdr:rowOff>14287</xdr:rowOff>
    </xdr:from>
    <xdr:to>
      <xdr:col>5</xdr:col>
      <xdr:colOff>361950</xdr:colOff>
      <xdr:row>60</xdr:row>
      <xdr:rowOff>90487</xdr:rowOff>
    </xdr:to>
    <xdr:graphicFrame macro="">
      <xdr:nvGraphicFramePr>
        <xdr:cNvPr id="2" name="Diagramm 1">
          <a:extLst>
            <a:ext uri="{FF2B5EF4-FFF2-40B4-BE49-F238E27FC236}">
              <a16:creationId xmlns:a16="http://schemas.microsoft.com/office/drawing/2014/main" id="{77DF5F82-49C7-F6DA-F4EF-023CBD355E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638175</xdr:colOff>
      <xdr:row>45</xdr:row>
      <xdr:rowOff>176212</xdr:rowOff>
    </xdr:from>
    <xdr:to>
      <xdr:col>7</xdr:col>
      <xdr:colOff>800100</xdr:colOff>
      <xdr:row>60</xdr:row>
      <xdr:rowOff>61912</xdr:rowOff>
    </xdr:to>
    <xdr:graphicFrame macro="">
      <xdr:nvGraphicFramePr>
        <xdr:cNvPr id="3" name="Diagramm 2">
          <a:extLst>
            <a:ext uri="{FF2B5EF4-FFF2-40B4-BE49-F238E27FC236}">
              <a16:creationId xmlns:a16="http://schemas.microsoft.com/office/drawing/2014/main" id="{301B9B63-58AD-2D4C-D49E-193009275B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1162050</xdr:colOff>
      <xdr:row>45</xdr:row>
      <xdr:rowOff>147637</xdr:rowOff>
    </xdr:from>
    <xdr:to>
      <xdr:col>8</xdr:col>
      <xdr:colOff>476250</xdr:colOff>
      <xdr:row>64</xdr:row>
      <xdr:rowOff>47625</xdr:rowOff>
    </xdr:to>
    <xdr:graphicFrame macro="">
      <xdr:nvGraphicFramePr>
        <xdr:cNvPr id="5" name="Diagramm 4">
          <a:extLst>
            <a:ext uri="{FF2B5EF4-FFF2-40B4-BE49-F238E27FC236}">
              <a16:creationId xmlns:a16="http://schemas.microsoft.com/office/drawing/2014/main" id="{F67D58E4-4C3D-4DC1-BCC6-94E9ABD9C4F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314325</xdr:colOff>
      <xdr:row>47</xdr:row>
      <xdr:rowOff>114301</xdr:rowOff>
    </xdr:from>
    <xdr:to>
      <xdr:col>10</xdr:col>
      <xdr:colOff>2667000</xdr:colOff>
      <xdr:row>55</xdr:row>
      <xdr:rowOff>149336</xdr:rowOff>
    </xdr:to>
    <xdr:pic>
      <xdr:nvPicPr>
        <xdr:cNvPr id="2" name="Grafik 1">
          <a:extLst>
            <a:ext uri="{FF2B5EF4-FFF2-40B4-BE49-F238E27FC236}">
              <a16:creationId xmlns:a16="http://schemas.microsoft.com/office/drawing/2014/main" id="{991A9E60-3754-4B23-AE80-0872A6E793A2}"/>
            </a:ext>
          </a:extLst>
        </xdr:cNvPr>
        <xdr:cNvPicPr>
          <a:picLocks noChangeAspect="1"/>
        </xdr:cNvPicPr>
      </xdr:nvPicPr>
      <xdr:blipFill>
        <a:blip xmlns:r="http://schemas.openxmlformats.org/officeDocument/2006/relationships" r:embed="rId1"/>
        <a:stretch>
          <a:fillRect/>
        </a:stretch>
      </xdr:blipFill>
      <xdr:spPr>
        <a:xfrm>
          <a:off x="12839700" y="8953501"/>
          <a:ext cx="5800725" cy="1559035"/>
        </a:xfrm>
        <a:prstGeom prst="rect">
          <a:avLst/>
        </a:prstGeom>
      </xdr:spPr>
    </xdr:pic>
    <xdr:clientData/>
  </xdr:twoCellAnchor>
  <xdr:twoCellAnchor editAs="oneCell">
    <xdr:from>
      <xdr:col>7</xdr:col>
      <xdr:colOff>552450</xdr:colOff>
      <xdr:row>27</xdr:row>
      <xdr:rowOff>28576</xdr:rowOff>
    </xdr:from>
    <xdr:to>
      <xdr:col>10</xdr:col>
      <xdr:colOff>2171700</xdr:colOff>
      <xdr:row>45</xdr:row>
      <xdr:rowOff>113551</xdr:rowOff>
    </xdr:to>
    <xdr:pic>
      <xdr:nvPicPr>
        <xdr:cNvPr id="3" name="Grafik 2">
          <a:extLst>
            <a:ext uri="{FF2B5EF4-FFF2-40B4-BE49-F238E27FC236}">
              <a16:creationId xmlns:a16="http://schemas.microsoft.com/office/drawing/2014/main" id="{7DC93A1C-CACB-214D-475C-0BD33EE7FFB7}"/>
            </a:ext>
          </a:extLst>
        </xdr:cNvPr>
        <xdr:cNvPicPr>
          <a:picLocks noChangeAspect="1"/>
        </xdr:cNvPicPr>
      </xdr:nvPicPr>
      <xdr:blipFill>
        <a:blip xmlns:r="http://schemas.openxmlformats.org/officeDocument/2006/relationships" r:embed="rId2"/>
        <a:stretch>
          <a:fillRect/>
        </a:stretch>
      </xdr:blipFill>
      <xdr:spPr>
        <a:xfrm>
          <a:off x="13839825" y="5057776"/>
          <a:ext cx="4305300" cy="35330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zen, Oskay" id="{3F83F208-EF60-4F30-8B5E-88645D98061F}" userId="S::O.Oezen@ptw.tu-darmstadt.de::a7912274-c68b-48f0-82ce-68ccec4a83ec"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053F61-6C7C-4458-BAAA-5F613610661B}" name="Hotel_country" displayName="Hotel_country" ref="U2:U55" totalsRowShown="0" headerRowDxfId="12">
  <autoFilter ref="U2:U55" xr:uid="{F8053F61-6C7C-4458-BAAA-5F613610661B}"/>
  <tableColumns count="1">
    <tableColumn id="1" xr3:uid="{B2702E1D-3141-4F76-8B9D-02D6ADB71DF4}" name="Country"/>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0E9E6A4-797B-4697-A3DF-29754702767F}" name="hotels_co2" displayName="hotels_co2" ref="V2:V55" totalsRowShown="0" headerRowDxfId="11">
  <autoFilter ref="V2:V55" xr:uid="{C0E9E6A4-797B-4697-A3DF-29754702767F}"/>
  <tableColumns count="1">
    <tableColumn id="1" xr3:uid="{30EDE7FF-566C-4A79-A606-4E0624AB7FB8}" name="kgCO2e/room-nigh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A178BC9-90E4-406B-ACA9-208139D3D3F2}" name="Transport_Faktor" displayName="Transport_Faktor" ref="X2:Y13" totalsRowShown="0" headerRowDxfId="10">
  <autoFilter ref="X2:Y13" xr:uid="{AA178BC9-90E4-406B-ACA9-208139D3D3F2}"/>
  <sortState xmlns:xlrd2="http://schemas.microsoft.com/office/spreadsheetml/2017/richdata2" ref="X3:Y12">
    <sortCondition ref="X2:X12"/>
  </sortState>
  <tableColumns count="2">
    <tableColumn id="1" xr3:uid="{55D3DF9E-136A-4E08-A13E-DFEBD1A0FD3A}" name="Transportmittel" dataDxfId="9"/>
    <tableColumn id="2" xr3:uid="{D0B0DAC2-EE43-48F7-B3E7-4304F70E8474}" name="kgCO2e/km" dataDxfId="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CEE25C0-7839-402B-A468-1817ED59D169}" name="Flugzeug_Faktor" displayName="Flugzeug_Faktor" ref="Z2:AA10" totalsRowShown="0" headerRowDxfId="7" headerRowBorderDxfId="6" tableBorderDxfId="5" totalsRowBorderDxfId="4">
  <autoFilter ref="Z2:AA10" xr:uid="{0CEE25C0-7839-402B-A468-1817ED59D169}"/>
  <tableColumns count="2">
    <tableColumn id="1" xr3:uid="{4DA7A041-0AD8-4262-B13A-EB167EF41F8D}" name="Transportmittel" dataDxfId="3"/>
    <tableColumn id="2" xr3:uid="{B78CD4F0-9471-453D-840F-9C69F2508A86}" name="kgCO2e/km" dataDxfId="2"/>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 dT="2024-05-29T14:22:24.80" personId="{3F83F208-EF60-4F30-8B5E-88645D98061F}" id="{6DD3527B-13E0-42AB-989B-9CF73C0E2E28}">
    <text>Wenn leer, dann werden km doppelt berechnet (inkl. Personen, 
außer beim Auto)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probas.umweltbundesamt.de/php/prozessdetails.php?id=%7b3492B409-0B8D-4CF1-B421-66547769222B%7d" TargetMode="External"/><Relationship Id="rId7" Type="http://schemas.openxmlformats.org/officeDocument/2006/relationships/drawing" Target="../drawings/drawing2.xml"/><Relationship Id="rId2" Type="http://schemas.openxmlformats.org/officeDocument/2006/relationships/hyperlink" Target="https://www.probas.umweltbundesamt.de/php/prozessdetails.php?id=%7b2D9B6BE8-2E52-484F-8613-C95A97662456%7d" TargetMode="External"/><Relationship Id="rId1" Type="http://schemas.openxmlformats.org/officeDocument/2006/relationships/hyperlink" Target="https://www.umweltbundesamt.de/sites/default/files/medien/1410/publikationen/2023_05_23_climate_change_20-2023_strommix_bf.pdf" TargetMode="External"/><Relationship Id="rId6" Type="http://schemas.openxmlformats.org/officeDocument/2006/relationships/printerSettings" Target="../printerSettings/printerSettings3.bin"/><Relationship Id="rId5" Type="http://schemas.openxmlformats.org/officeDocument/2006/relationships/hyperlink" Target="https://www.probas.umweltbundesamt.de/php/prozessdetails.php?id=%7b79A3BA36-8F46-48C1-B379-0D3ABA48F561%7d" TargetMode="External"/><Relationship Id="rId4" Type="http://schemas.openxmlformats.org/officeDocument/2006/relationships/hyperlink" Target="https://www.probas.umweltbundesamt.de/php/prozessdetails.php?id=%7b0E0B2E01-9043-11D3-B2C8-0080C8941B49%7d" TargetMode="Externa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7" Type="http://schemas.microsoft.com/office/2017/10/relationships/threadedComment" Target="../threadedComments/threadedComment1.xml"/><Relationship Id="rId2" Type="http://schemas.openxmlformats.org/officeDocument/2006/relationships/table" Target="../tables/table1.xml"/><Relationship Id="rId1" Type="http://schemas.openxmlformats.org/officeDocument/2006/relationships/vmlDrawing" Target="../drawings/vmlDrawing1.vml"/><Relationship Id="rId6" Type="http://schemas.openxmlformats.org/officeDocument/2006/relationships/comments" Target="../comments1.xm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7282A-8854-4A13-82E1-61EFCF00AD44}">
  <dimension ref="A1:O47"/>
  <sheetViews>
    <sheetView tabSelected="1" topLeftCell="A3" zoomScale="89" zoomScaleNormal="89" workbookViewId="0">
      <selection activeCell="E23" sqref="E23"/>
    </sheetView>
  </sheetViews>
  <sheetFormatPr baseColWidth="10" defaultRowHeight="15" x14ac:dyDescent="0.25"/>
  <cols>
    <col min="1" max="1" width="15.28515625" style="3" customWidth="1"/>
    <col min="2" max="2" width="33.42578125" customWidth="1"/>
    <col min="3" max="3" width="12.85546875" bestFit="1" customWidth="1"/>
    <col min="6" max="6" width="23.140625" bestFit="1" customWidth="1"/>
    <col min="7" max="7" width="47.42578125" bestFit="1" customWidth="1"/>
    <col min="8" max="8" width="182.42578125" customWidth="1"/>
    <col min="9" max="9" width="12" bestFit="1" customWidth="1"/>
    <col min="10" max="10" width="22.28515625" customWidth="1"/>
    <col min="14" max="14" width="12" bestFit="1" customWidth="1"/>
    <col min="16" max="16" width="12" bestFit="1" customWidth="1"/>
  </cols>
  <sheetData>
    <row r="1" spans="1:15" ht="18.75" x14ac:dyDescent="0.25">
      <c r="A1" s="4" t="s">
        <v>186</v>
      </c>
    </row>
    <row r="2" spans="1:15" ht="19.5" thickBot="1" x14ac:dyDescent="0.35">
      <c r="B2" s="1"/>
    </row>
    <row r="3" spans="1:15" ht="15.75" thickBot="1" x14ac:dyDescent="0.3">
      <c r="A3" s="35" t="s">
        <v>31</v>
      </c>
      <c r="B3" s="38" t="s">
        <v>30</v>
      </c>
      <c r="C3" s="39" t="s">
        <v>6</v>
      </c>
      <c r="D3" s="36" t="s">
        <v>7</v>
      </c>
      <c r="E3" s="40" t="s">
        <v>8</v>
      </c>
      <c r="F3" s="40" t="s">
        <v>114</v>
      </c>
      <c r="G3" s="40" t="s">
        <v>27</v>
      </c>
      <c r="H3" s="41" t="s">
        <v>28</v>
      </c>
    </row>
    <row r="4" spans="1:15" ht="15.75" thickBot="1" x14ac:dyDescent="0.3">
      <c r="A4" s="14" t="s">
        <v>0</v>
      </c>
      <c r="B4" s="15" t="s">
        <v>1</v>
      </c>
      <c r="C4" s="55">
        <v>9088.814414437722</v>
      </c>
      <c r="D4" s="16" t="s">
        <v>110</v>
      </c>
      <c r="E4" s="17">
        <f>'CO2-Faktoren'!B15</f>
        <v>2.5968559999999998</v>
      </c>
      <c r="F4" s="47">
        <f>C4*E4</f>
        <v>23602.342245019085</v>
      </c>
      <c r="G4" s="17" t="s">
        <v>333</v>
      </c>
      <c r="H4" s="17"/>
      <c r="J4" s="45"/>
      <c r="K4" s="45"/>
    </row>
    <row r="5" spans="1:15" ht="15.75" thickBot="1" x14ac:dyDescent="0.3">
      <c r="A5" s="10" t="s">
        <v>2</v>
      </c>
      <c r="B5" s="11" t="s">
        <v>25</v>
      </c>
      <c r="C5" s="54">
        <v>68322.498044060994</v>
      </c>
      <c r="D5" s="12" t="s">
        <v>23</v>
      </c>
      <c r="E5" s="13">
        <f>'CO2-Faktoren'!B5</f>
        <v>0.498</v>
      </c>
      <c r="F5" s="48">
        <f>C5*E5</f>
        <v>34024.604025942375</v>
      </c>
      <c r="G5" s="13" t="s">
        <v>329</v>
      </c>
      <c r="H5" s="13"/>
    </row>
    <row r="6" spans="1:15" x14ac:dyDescent="0.25">
      <c r="A6" s="125" t="s">
        <v>24</v>
      </c>
      <c r="B6" s="18" t="s">
        <v>4</v>
      </c>
      <c r="C6" s="63">
        <f>60*1.02</f>
        <v>61.2</v>
      </c>
      <c r="D6" s="19" t="s">
        <v>32</v>
      </c>
      <c r="E6" s="20">
        <f>'CO2-Faktoren'!B13</f>
        <v>3.3595000000000002</v>
      </c>
      <c r="F6" s="64">
        <f t="shared" ref="F6:F11" si="0">E6*C6</f>
        <v>205.60140000000001</v>
      </c>
      <c r="G6" s="24" t="s">
        <v>332</v>
      </c>
      <c r="H6" s="65" t="s">
        <v>155</v>
      </c>
    </row>
    <row r="7" spans="1:15" x14ac:dyDescent="0.25">
      <c r="A7" s="126"/>
      <c r="B7" s="21" t="s">
        <v>3</v>
      </c>
      <c r="C7" s="56">
        <f>880*0.9</f>
        <v>792</v>
      </c>
      <c r="D7" s="62" t="s">
        <v>32</v>
      </c>
      <c r="E7" s="24">
        <f>'CO2-Faktoren'!B7</f>
        <v>1.5416000000000001</v>
      </c>
      <c r="F7" s="49">
        <f t="shared" si="0"/>
        <v>1220.9472000000001</v>
      </c>
      <c r="G7" s="24" t="s">
        <v>332</v>
      </c>
      <c r="H7" s="24" t="s">
        <v>150</v>
      </c>
      <c r="N7" s="45"/>
      <c r="O7" s="45"/>
    </row>
    <row r="8" spans="1:15" x14ac:dyDescent="0.25">
      <c r="A8" s="126"/>
      <c r="B8" s="21" t="s">
        <v>148</v>
      </c>
      <c r="C8" s="56">
        <f>30*0.9</f>
        <v>27</v>
      </c>
      <c r="D8" s="62" t="s">
        <v>32</v>
      </c>
      <c r="E8" s="24">
        <f>'CO2-Faktoren'!B7</f>
        <v>1.5416000000000001</v>
      </c>
      <c r="F8" s="49">
        <f t="shared" si="0"/>
        <v>41.623200000000004</v>
      </c>
      <c r="G8" s="24" t="s">
        <v>332</v>
      </c>
      <c r="H8" s="24" t="s">
        <v>154</v>
      </c>
      <c r="N8" s="45"/>
      <c r="O8" s="45"/>
    </row>
    <row r="9" spans="1:15" x14ac:dyDescent="0.25">
      <c r="A9" s="126"/>
      <c r="B9" s="21" t="s">
        <v>5</v>
      </c>
      <c r="C9" s="56">
        <f>H9*0.66679</f>
        <v>100.0185</v>
      </c>
      <c r="D9" s="23" t="s">
        <v>32</v>
      </c>
      <c r="E9" s="79">
        <f>'CO2-Faktoren'!B18</f>
        <v>4.9490999999999996</v>
      </c>
      <c r="F9" s="49">
        <f t="shared" si="0"/>
        <v>495.00155834999998</v>
      </c>
      <c r="G9" s="24" t="s">
        <v>331</v>
      </c>
      <c r="H9" s="24">
        <v>150</v>
      </c>
      <c r="I9" t="s">
        <v>221</v>
      </c>
    </row>
    <row r="10" spans="1:15" x14ac:dyDescent="0.25">
      <c r="A10" s="126"/>
      <c r="B10" s="21" t="s">
        <v>10</v>
      </c>
      <c r="C10" s="56">
        <f>7.5*0.01</f>
        <v>7.4999999999999997E-2</v>
      </c>
      <c r="D10" s="23" t="s">
        <v>32</v>
      </c>
      <c r="E10" s="24">
        <f>'CO2-Faktoren'!B8</f>
        <v>5.1510999999999996</v>
      </c>
      <c r="F10" s="49">
        <f t="shared" si="0"/>
        <v>0.38633249999999997</v>
      </c>
      <c r="G10" s="24" t="s">
        <v>330</v>
      </c>
      <c r="H10" s="24" t="s">
        <v>335</v>
      </c>
    </row>
    <row r="11" spans="1:15" x14ac:dyDescent="0.25">
      <c r="A11" s="126"/>
      <c r="B11" s="21" t="s">
        <v>230</v>
      </c>
      <c r="C11" s="56">
        <v>2</v>
      </c>
      <c r="D11" s="23" t="s">
        <v>32</v>
      </c>
      <c r="E11" s="24">
        <f>'CO2-Faktoren'!B43</f>
        <v>4.2744999999999997</v>
      </c>
      <c r="F11" s="49">
        <f t="shared" si="0"/>
        <v>8.5489999999999995</v>
      </c>
      <c r="G11" s="24" t="s">
        <v>330</v>
      </c>
      <c r="H11" s="80"/>
    </row>
    <row r="12" spans="1:15" ht="15" customHeight="1" x14ac:dyDescent="0.25">
      <c r="A12" s="126"/>
      <c r="B12" s="21" t="s">
        <v>144</v>
      </c>
      <c r="C12" s="56">
        <v>50</v>
      </c>
      <c r="D12" s="23" t="s">
        <v>32</v>
      </c>
      <c r="E12" s="24">
        <f>'CO2-Faktoren'!B38</f>
        <v>17.71</v>
      </c>
      <c r="F12" s="49">
        <f>C12*E12</f>
        <v>885.5</v>
      </c>
      <c r="G12" s="24" t="s">
        <v>330</v>
      </c>
      <c r="H12" s="87" t="s">
        <v>184</v>
      </c>
    </row>
    <row r="13" spans="1:15" ht="15" customHeight="1" x14ac:dyDescent="0.25">
      <c r="A13" s="126"/>
      <c r="B13" s="21" t="s">
        <v>182</v>
      </c>
      <c r="C13" s="56">
        <f>7*360/1000</f>
        <v>2.52</v>
      </c>
      <c r="D13" s="23" t="s">
        <v>32</v>
      </c>
      <c r="E13" s="24">
        <f>'CO2-Faktoren'!B40</f>
        <v>2.0295000000000001</v>
      </c>
      <c r="F13" s="49">
        <f>C13*E13</f>
        <v>5.1143400000000003</v>
      </c>
      <c r="G13" s="24" t="s">
        <v>330</v>
      </c>
      <c r="H13" s="87" t="s">
        <v>185</v>
      </c>
    </row>
    <row r="14" spans="1:15" x14ac:dyDescent="0.25">
      <c r="A14" s="126"/>
      <c r="B14" s="21" t="s">
        <v>176</v>
      </c>
      <c r="C14" s="56">
        <v>1</v>
      </c>
      <c r="D14" s="23" t="s">
        <v>177</v>
      </c>
      <c r="E14" s="24">
        <f>'CO2-Faktoren'!B41</f>
        <v>4.0641999999999996</v>
      </c>
      <c r="F14" s="49">
        <f>E14*C14</f>
        <v>4.0641999999999996</v>
      </c>
      <c r="G14" s="24" t="s">
        <v>330</v>
      </c>
      <c r="H14" s="87" t="s">
        <v>336</v>
      </c>
    </row>
    <row r="15" spans="1:15" x14ac:dyDescent="0.25">
      <c r="A15" s="127"/>
      <c r="B15" s="25" t="s">
        <v>11</v>
      </c>
      <c r="C15" s="68">
        <f>I15</f>
        <v>69.86</v>
      </c>
      <c r="D15" s="26" t="s">
        <v>32</v>
      </c>
      <c r="E15" s="27">
        <f>'CO2-Faktoren'!B25</f>
        <v>1.1412</v>
      </c>
      <c r="F15" s="70">
        <f>E15*C15</f>
        <v>79.724232000000001</v>
      </c>
      <c r="G15" s="24" t="s">
        <v>330</v>
      </c>
      <c r="H15" s="27" t="s">
        <v>183</v>
      </c>
      <c r="I15">
        <f>7*2000*4.99/1000</f>
        <v>69.86</v>
      </c>
    </row>
    <row r="16" spans="1:15" x14ac:dyDescent="0.25">
      <c r="A16" s="28" t="s">
        <v>12</v>
      </c>
      <c r="B16" s="21" t="s">
        <v>228</v>
      </c>
      <c r="C16" s="67">
        <f>C4</f>
        <v>9088.814414437722</v>
      </c>
      <c r="D16" s="23" t="s">
        <v>110</v>
      </c>
      <c r="E16" s="24">
        <f>'CO2-Faktoren'!B14</f>
        <v>0.63944000000000001</v>
      </c>
      <c r="F16" s="49">
        <f>E16*C16</f>
        <v>5811.7514891680567</v>
      </c>
      <c r="G16" s="24" t="s">
        <v>329</v>
      </c>
      <c r="H16" s="24" t="s">
        <v>109</v>
      </c>
    </row>
    <row r="17" spans="1:8" x14ac:dyDescent="0.25">
      <c r="A17" s="28"/>
      <c r="B17" s="21" t="s">
        <v>229</v>
      </c>
      <c r="C17" s="67"/>
      <c r="D17" s="23"/>
      <c r="E17" s="24"/>
      <c r="F17" s="49"/>
      <c r="G17" s="24"/>
      <c r="H17" s="24"/>
    </row>
    <row r="18" spans="1:8" x14ac:dyDescent="0.25">
      <c r="A18" s="29"/>
      <c r="B18" s="25" t="s">
        <v>26</v>
      </c>
      <c r="C18" s="68">
        <f>860*1.5</f>
        <v>1290</v>
      </c>
      <c r="D18" s="26" t="s">
        <v>23</v>
      </c>
      <c r="E18" s="27">
        <f>'CO2-Faktoren'!B5</f>
        <v>0.498</v>
      </c>
      <c r="F18" s="49">
        <f>E18*C18</f>
        <v>642.41999999999996</v>
      </c>
      <c r="G18" s="24" t="s">
        <v>118</v>
      </c>
      <c r="H18" s="33"/>
    </row>
    <row r="19" spans="1:8" x14ac:dyDescent="0.25">
      <c r="A19" s="30" t="s">
        <v>19</v>
      </c>
      <c r="B19" s="31" t="s">
        <v>13</v>
      </c>
      <c r="C19" s="69">
        <f>150*0.7</f>
        <v>105</v>
      </c>
      <c r="D19" s="32" t="s">
        <v>158</v>
      </c>
      <c r="E19" s="33">
        <f>'CO2-Faktoren'!B39</f>
        <v>5.3999999999999999E-2</v>
      </c>
      <c r="F19" s="71">
        <f>E19*C19</f>
        <v>5.67</v>
      </c>
      <c r="G19" s="33" t="s">
        <v>149</v>
      </c>
      <c r="H19" s="33"/>
    </row>
    <row r="20" spans="1:8" x14ac:dyDescent="0.25">
      <c r="A20" s="128" t="s">
        <v>20</v>
      </c>
      <c r="B20" s="21" t="s">
        <v>14</v>
      </c>
      <c r="C20" s="56">
        <f>444/1000*H9</f>
        <v>66.599999999999994</v>
      </c>
      <c r="D20" s="23" t="s">
        <v>32</v>
      </c>
      <c r="E20" s="24">
        <f>'CO2-Faktoren'!B10</f>
        <v>4.7489999999999997E-2</v>
      </c>
      <c r="F20" s="49">
        <f t="shared" ref="F20:F23" si="1">E20*C20</f>
        <v>3.1628339999999997</v>
      </c>
      <c r="G20" s="24"/>
      <c r="H20" s="24" t="s">
        <v>328</v>
      </c>
    </row>
    <row r="21" spans="1:8" x14ac:dyDescent="0.25">
      <c r="A21" s="129"/>
      <c r="B21" s="21" t="s">
        <v>15</v>
      </c>
      <c r="C21" s="56">
        <f>880*0.9</f>
        <v>792</v>
      </c>
      <c r="D21" s="23" t="s">
        <v>32</v>
      </c>
      <c r="E21" s="24">
        <f>'CO2-Faktoren'!B11</f>
        <v>2.8471000000000002</v>
      </c>
      <c r="F21" s="49">
        <f t="shared" si="1"/>
        <v>2254.9032000000002</v>
      </c>
      <c r="G21" s="24" t="s">
        <v>151</v>
      </c>
      <c r="H21" s="24"/>
    </row>
    <row r="22" spans="1:8" x14ac:dyDescent="0.25">
      <c r="A22" s="129"/>
      <c r="B22" s="21" t="s">
        <v>16</v>
      </c>
      <c r="C22" s="56">
        <f>30*0.9</f>
        <v>27</v>
      </c>
      <c r="D22" s="23" t="s">
        <v>32</v>
      </c>
      <c r="E22" s="24">
        <f>'CO2-Faktoren'!B11</f>
        <v>2.8471000000000002</v>
      </c>
      <c r="F22" s="49">
        <f t="shared" si="1"/>
        <v>76.871700000000004</v>
      </c>
      <c r="G22" s="24" t="s">
        <v>151</v>
      </c>
      <c r="H22" s="24"/>
    </row>
    <row r="23" spans="1:8" x14ac:dyDescent="0.25">
      <c r="A23" s="129"/>
      <c r="B23" s="21" t="s">
        <v>58</v>
      </c>
      <c r="C23" s="56">
        <f>C10</f>
        <v>7.4999999999999997E-2</v>
      </c>
      <c r="D23" s="23" t="s">
        <v>32</v>
      </c>
      <c r="E23" s="24">
        <f>'CO2-Faktoren'!B12</f>
        <v>6.2132E-2</v>
      </c>
      <c r="F23" s="49">
        <f t="shared" si="1"/>
        <v>4.6598999999999998E-3</v>
      </c>
      <c r="G23" s="24" t="s">
        <v>151</v>
      </c>
      <c r="H23" s="24"/>
    </row>
    <row r="24" spans="1:8" x14ac:dyDescent="0.25">
      <c r="A24" s="129"/>
      <c r="B24" s="23" t="s">
        <v>338</v>
      </c>
      <c r="C24" s="90"/>
      <c r="D24" s="23" t="s">
        <v>225</v>
      </c>
      <c r="E24" s="24"/>
      <c r="F24" s="49">
        <f>'End-of-Life'!K14</f>
        <v>5.4104774399999993E-2</v>
      </c>
      <c r="G24" s="24"/>
      <c r="H24" s="24"/>
    </row>
    <row r="25" spans="1:8" x14ac:dyDescent="0.25">
      <c r="A25" s="129"/>
      <c r="B25" s="23" t="s">
        <v>232</v>
      </c>
      <c r="C25" s="90"/>
      <c r="D25" s="23" t="s">
        <v>225</v>
      </c>
      <c r="E25" s="24"/>
      <c r="F25" s="94">
        <f>'End-of-Life'!K15</f>
        <v>7.2654719999999998E-4</v>
      </c>
      <c r="G25" s="23"/>
      <c r="H25" s="90"/>
    </row>
    <row r="26" spans="1:8" x14ac:dyDescent="0.25">
      <c r="A26" s="130"/>
      <c r="B26" s="91" t="s">
        <v>233</v>
      </c>
      <c r="C26" s="70"/>
      <c r="D26" s="26" t="s">
        <v>225</v>
      </c>
      <c r="E26" s="91"/>
      <c r="F26" s="70">
        <f>'End-of-Life'!K16</f>
        <v>2.4981727679999994</v>
      </c>
      <c r="G26" s="23"/>
      <c r="H26" s="90"/>
    </row>
    <row r="27" spans="1:8" x14ac:dyDescent="0.25">
      <c r="A27" s="34" t="s">
        <v>21</v>
      </c>
      <c r="B27" s="21" t="s">
        <v>17</v>
      </c>
      <c r="C27" s="22"/>
      <c r="D27" s="23"/>
      <c r="E27" s="24"/>
      <c r="F27" s="49">
        <v>192717.25399999999</v>
      </c>
      <c r="G27" s="24" t="s">
        <v>187</v>
      </c>
      <c r="H27" s="24"/>
    </row>
    <row r="28" spans="1:8" ht="15.75" thickBot="1" x14ac:dyDescent="0.3">
      <c r="A28" s="73" t="s">
        <v>22</v>
      </c>
      <c r="B28" s="74" t="s">
        <v>18</v>
      </c>
      <c r="C28" s="75"/>
      <c r="D28" s="76"/>
      <c r="E28" s="77"/>
      <c r="F28" s="83">
        <v>1349.5784200000001</v>
      </c>
      <c r="G28" s="77" t="s">
        <v>326</v>
      </c>
      <c r="H28" s="77"/>
    </row>
    <row r="29" spans="1:8" ht="15.75" thickBot="1" x14ac:dyDescent="0.3">
      <c r="A29" s="34" t="s">
        <v>188</v>
      </c>
      <c r="B29" s="81" t="s">
        <v>219</v>
      </c>
      <c r="C29" s="83">
        <f>C9-C20</f>
        <v>33.418500000000009</v>
      </c>
      <c r="D29" s="83" t="s">
        <v>32</v>
      </c>
      <c r="E29" s="77"/>
      <c r="F29" s="83">
        <f>'End-of-Life'!K17</f>
        <v>2.7148654704000009E-2</v>
      </c>
      <c r="G29" s="82" t="s">
        <v>327</v>
      </c>
      <c r="H29" s="82"/>
    </row>
    <row r="30" spans="1:8" ht="15.75" thickBot="1" x14ac:dyDescent="0.3">
      <c r="A30" s="34" t="s">
        <v>189</v>
      </c>
      <c r="B30" s="81" t="s">
        <v>220</v>
      </c>
      <c r="C30" s="83">
        <f>C29</f>
        <v>33.418500000000009</v>
      </c>
      <c r="D30" s="83" t="s">
        <v>32</v>
      </c>
      <c r="E30" s="82"/>
      <c r="F30" s="83">
        <f>C30*'CO2-Faktoren'!B9</f>
        <v>9.7932914250000014</v>
      </c>
      <c r="G30" s="82" t="s">
        <v>327</v>
      </c>
      <c r="H30" s="82"/>
    </row>
    <row r="31" spans="1:8" ht="15.75" thickBot="1" x14ac:dyDescent="0.3">
      <c r="A31" s="34"/>
      <c r="B31" s="81"/>
      <c r="C31" s="23"/>
      <c r="D31" s="23"/>
      <c r="E31" s="82"/>
      <c r="F31" s="83"/>
      <c r="G31" s="82"/>
      <c r="H31" s="82"/>
    </row>
    <row r="32" spans="1:8" ht="15.75" thickBot="1" x14ac:dyDescent="0.3">
      <c r="A32" s="34"/>
      <c r="B32" s="81"/>
      <c r="C32" s="23"/>
      <c r="D32" s="23"/>
      <c r="E32" s="82"/>
      <c r="F32" s="83"/>
      <c r="G32" s="82"/>
      <c r="H32" s="82"/>
    </row>
    <row r="33" spans="1:8" ht="15.75" thickBot="1" x14ac:dyDescent="0.3">
      <c r="A33" s="34"/>
      <c r="B33" s="81"/>
      <c r="C33" s="23"/>
      <c r="D33" s="23"/>
      <c r="E33" s="82"/>
      <c r="F33" s="83"/>
      <c r="G33" s="82"/>
      <c r="H33" s="82"/>
    </row>
    <row r="34" spans="1:8" ht="15.75" thickBot="1" x14ac:dyDescent="0.3">
      <c r="A34" s="34"/>
      <c r="B34" s="81"/>
      <c r="C34" s="23"/>
      <c r="D34" s="23"/>
      <c r="E34" s="82"/>
      <c r="F34" s="83"/>
      <c r="G34" s="82"/>
      <c r="H34" s="82"/>
    </row>
    <row r="35" spans="1:8" ht="15.75" thickBot="1" x14ac:dyDescent="0.3">
      <c r="A35" s="34" t="s">
        <v>159</v>
      </c>
      <c r="B35" s="59"/>
      <c r="C35" s="23"/>
      <c r="D35" s="23"/>
      <c r="E35" s="60"/>
      <c r="F35" s="61">
        <f>SUM(F6:F34)</f>
        <v>205820.50121008739</v>
      </c>
      <c r="G35" s="60"/>
      <c r="H35" s="60"/>
    </row>
    <row r="36" spans="1:8" ht="15.75" thickBot="1" x14ac:dyDescent="0.3">
      <c r="A36" s="35" t="s">
        <v>80</v>
      </c>
      <c r="B36" s="36"/>
      <c r="C36" s="36"/>
      <c r="D36" s="36"/>
      <c r="E36" s="36"/>
      <c r="F36" s="50">
        <f>SUM(F4:F30)</f>
        <v>263447.44748104876</v>
      </c>
      <c r="G36" s="36"/>
      <c r="H36" s="37"/>
    </row>
    <row r="38" spans="1:8" x14ac:dyDescent="0.25">
      <c r="A38" t="s">
        <v>164</v>
      </c>
      <c r="B38" s="66" t="s">
        <v>160</v>
      </c>
      <c r="F38" s="72">
        <f>SUM(F6:F15)</f>
        <v>2946.51146285</v>
      </c>
      <c r="G38" s="97">
        <f>F38/$F$36</f>
        <v>1.1184437317662601E-2</v>
      </c>
      <c r="H38" s="96"/>
    </row>
    <row r="39" spans="1:8" x14ac:dyDescent="0.25">
      <c r="A39" t="s">
        <v>165</v>
      </c>
      <c r="B39" s="3" t="s">
        <v>161</v>
      </c>
      <c r="F39" s="72">
        <f>SUM(F16:F18)</f>
        <v>6454.1714891680567</v>
      </c>
      <c r="G39" s="97">
        <f t="shared" ref="G39:G43" si="2">F39/$F$36</f>
        <v>2.4498895513619813E-2</v>
      </c>
    </row>
    <row r="40" spans="1:8" x14ac:dyDescent="0.25">
      <c r="A40" t="s">
        <v>166</v>
      </c>
      <c r="B40" s="3" t="s">
        <v>162</v>
      </c>
      <c r="F40" s="72">
        <f>SUM(F19)</f>
        <v>5.67</v>
      </c>
      <c r="G40" s="97">
        <f t="shared" si="2"/>
        <v>2.1522318983211537E-5</v>
      </c>
    </row>
    <row r="41" spans="1:8" x14ac:dyDescent="0.25">
      <c r="A41" t="s">
        <v>167</v>
      </c>
      <c r="B41" s="3" t="s">
        <v>163</v>
      </c>
      <c r="F41" s="72">
        <f>SUM(F20:F23)</f>
        <v>2334.9423939000008</v>
      </c>
      <c r="G41" s="97">
        <f t="shared" si="2"/>
        <v>8.8630291021057107E-3</v>
      </c>
    </row>
    <row r="42" spans="1:8" x14ac:dyDescent="0.25">
      <c r="A42" t="s">
        <v>17</v>
      </c>
      <c r="B42" s="66" t="s">
        <v>169</v>
      </c>
      <c r="F42" s="72">
        <f>SUM(F27)</f>
        <v>192717.25399999999</v>
      </c>
      <c r="G42" s="97">
        <f t="shared" si="2"/>
        <v>0.73152067269075827</v>
      </c>
    </row>
    <row r="43" spans="1:8" x14ac:dyDescent="0.25">
      <c r="A43" t="s">
        <v>170</v>
      </c>
      <c r="B43" s="3" t="s">
        <v>168</v>
      </c>
      <c r="F43" s="72">
        <f>SUM(F28)</f>
        <v>1349.5784200000001</v>
      </c>
      <c r="G43" s="97">
        <f t="shared" si="2"/>
        <v>5.1227614194177479E-3</v>
      </c>
    </row>
    <row r="47" spans="1:8" x14ac:dyDescent="0.25">
      <c r="G47">
        <v>79.724232000000001</v>
      </c>
    </row>
  </sheetData>
  <mergeCells count="2">
    <mergeCell ref="A6:A15"/>
    <mergeCell ref="A20:A26"/>
  </mergeCells>
  <pageMargins left="0.7" right="0.7" top="0.78740157499999996" bottom="0.78740157499999996" header="0.3" footer="0.3"/>
  <pageSetup paperSize="9"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8F0E8-DE04-4EDE-AC38-A9886DABA89F}">
  <dimension ref="A4:D24"/>
  <sheetViews>
    <sheetView workbookViewId="0">
      <selection activeCell="B18" sqref="B18"/>
    </sheetView>
  </sheetViews>
  <sheetFormatPr baseColWidth="10" defaultColWidth="10.7109375" defaultRowHeight="15" x14ac:dyDescent="0.25"/>
  <cols>
    <col min="1" max="1" width="5" style="42" customWidth="1"/>
    <col min="2" max="2" width="38.5703125" style="45" customWidth="1"/>
    <col min="3" max="3" width="96.28515625" style="45" customWidth="1"/>
    <col min="4" max="4" width="58.5703125" style="7" customWidth="1"/>
    <col min="5" max="16384" width="10.7109375" style="7"/>
  </cols>
  <sheetData>
    <row r="4" spans="1:4" ht="22.35" customHeight="1" x14ac:dyDescent="0.25">
      <c r="B4" s="43" t="s">
        <v>81</v>
      </c>
      <c r="C4" s="44" t="s">
        <v>82</v>
      </c>
      <c r="D4" s="42" t="s">
        <v>83</v>
      </c>
    </row>
    <row r="6" spans="1:4" ht="45" x14ac:dyDescent="0.25">
      <c r="A6" s="42">
        <v>1</v>
      </c>
      <c r="B6" s="45" t="s">
        <v>84</v>
      </c>
      <c r="C6" s="45" t="s">
        <v>85</v>
      </c>
    </row>
    <row r="7" spans="1:4" ht="30" x14ac:dyDescent="0.25">
      <c r="A7" s="42">
        <v>2</v>
      </c>
      <c r="B7" s="45" t="s">
        <v>86</v>
      </c>
      <c r="C7" s="46" t="s">
        <v>87</v>
      </c>
    </row>
    <row r="8" spans="1:4" ht="195" x14ac:dyDescent="0.25">
      <c r="A8" s="42">
        <v>3</v>
      </c>
      <c r="B8" s="45" t="s">
        <v>88</v>
      </c>
      <c r="C8" s="45" t="s">
        <v>89</v>
      </c>
    </row>
    <row r="9" spans="1:4" ht="105" x14ac:dyDescent="0.25">
      <c r="A9" s="42">
        <v>4</v>
      </c>
      <c r="B9" s="45" t="s">
        <v>90</v>
      </c>
      <c r="C9" s="45" t="s">
        <v>91</v>
      </c>
    </row>
    <row r="10" spans="1:4" ht="45" x14ac:dyDescent="0.25">
      <c r="A10" s="42">
        <v>5</v>
      </c>
      <c r="B10" s="45" t="s">
        <v>92</v>
      </c>
      <c r="C10" s="45" t="s">
        <v>93</v>
      </c>
    </row>
    <row r="11" spans="1:4" ht="90" x14ac:dyDescent="0.25">
      <c r="A11" s="42">
        <v>6</v>
      </c>
      <c r="B11" s="45" t="s">
        <v>94</v>
      </c>
      <c r="C11" s="45" t="s">
        <v>95</v>
      </c>
      <c r="D11" s="45" t="s">
        <v>96</v>
      </c>
    </row>
    <row r="12" spans="1:4" ht="45" x14ac:dyDescent="0.25">
      <c r="A12" s="42">
        <v>7</v>
      </c>
      <c r="B12" s="45" t="s">
        <v>97</v>
      </c>
      <c r="C12" s="45" t="s">
        <v>98</v>
      </c>
    </row>
    <row r="13" spans="1:4" ht="30" x14ac:dyDescent="0.25">
      <c r="A13" s="42">
        <v>8</v>
      </c>
      <c r="B13" s="45" t="s">
        <v>99</v>
      </c>
      <c r="C13" s="45" t="s">
        <v>100</v>
      </c>
    </row>
    <row r="16" spans="1:4" x14ac:dyDescent="0.25">
      <c r="B16" s="43" t="s">
        <v>101</v>
      </c>
    </row>
    <row r="18" spans="1:2" x14ac:dyDescent="0.25">
      <c r="A18" s="42">
        <v>9</v>
      </c>
      <c r="B18" s="45" t="s">
        <v>102</v>
      </c>
    </row>
    <row r="19" spans="1:2" x14ac:dyDescent="0.25">
      <c r="A19" s="42">
        <v>10</v>
      </c>
      <c r="B19" s="45" t="s">
        <v>103</v>
      </c>
    </row>
    <row r="20" spans="1:2" x14ac:dyDescent="0.25">
      <c r="A20" s="42">
        <v>11</v>
      </c>
      <c r="B20" s="45" t="s">
        <v>104</v>
      </c>
    </row>
    <row r="21" spans="1:2" ht="30" x14ac:dyDescent="0.25">
      <c r="A21" s="42">
        <v>12</v>
      </c>
      <c r="B21" s="45" t="s">
        <v>105</v>
      </c>
    </row>
    <row r="22" spans="1:2" x14ac:dyDescent="0.25">
      <c r="A22" s="42">
        <v>13</v>
      </c>
      <c r="B22" s="45" t="s">
        <v>106</v>
      </c>
    </row>
    <row r="23" spans="1:2" x14ac:dyDescent="0.25">
      <c r="A23" s="42">
        <v>14</v>
      </c>
      <c r="B23" s="45" t="s">
        <v>107</v>
      </c>
    </row>
    <row r="24" spans="1:2" x14ac:dyDescent="0.25">
      <c r="A24" s="42">
        <v>15</v>
      </c>
      <c r="B24" s="45" t="s">
        <v>108</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2B63A-0261-4268-B96F-D53A51661F12}">
  <dimension ref="A1:P44"/>
  <sheetViews>
    <sheetView topLeftCell="A12" workbookViewId="0">
      <selection activeCell="B41" sqref="B41"/>
    </sheetView>
  </sheetViews>
  <sheetFormatPr baseColWidth="10" defaultRowHeight="15" x14ac:dyDescent="0.25"/>
  <cols>
    <col min="1" max="1" width="31.42578125" customWidth="1"/>
    <col min="3" max="3" width="13.28515625" bestFit="1" customWidth="1"/>
    <col min="4" max="4" width="18.28515625" bestFit="1" customWidth="1"/>
    <col min="5" max="5" width="102" bestFit="1" customWidth="1"/>
    <col min="10" max="10" width="17.42578125" bestFit="1" customWidth="1"/>
    <col min="11" max="11" width="102" bestFit="1" customWidth="1"/>
  </cols>
  <sheetData>
    <row r="1" spans="1:16" ht="21" x14ac:dyDescent="0.35">
      <c r="A1" s="2" t="s">
        <v>9</v>
      </c>
      <c r="D1">
        <v>4.7489999999999997E-2</v>
      </c>
    </row>
    <row r="3" spans="1:16" x14ac:dyDescent="0.25">
      <c r="A3" s="8"/>
      <c r="B3" s="131" t="s">
        <v>37</v>
      </c>
      <c r="C3" s="131"/>
      <c r="D3" s="131"/>
      <c r="E3" s="131"/>
      <c r="H3" s="132" t="s">
        <v>38</v>
      </c>
      <c r="I3" s="132"/>
      <c r="J3" s="132"/>
      <c r="K3" s="132"/>
    </row>
    <row r="4" spans="1:16" x14ac:dyDescent="0.25">
      <c r="A4" s="9" t="s">
        <v>30</v>
      </c>
      <c r="B4" s="9" t="s">
        <v>8</v>
      </c>
      <c r="C4" s="9" t="s">
        <v>7</v>
      </c>
      <c r="D4" s="9" t="s">
        <v>39</v>
      </c>
      <c r="E4" s="9" t="s">
        <v>172</v>
      </c>
      <c r="F4" s="5" t="s">
        <v>28</v>
      </c>
      <c r="G4" s="5"/>
      <c r="H4" s="9" t="s">
        <v>8</v>
      </c>
      <c r="I4" s="9" t="s">
        <v>7</v>
      </c>
      <c r="J4" s="9" t="s">
        <v>39</v>
      </c>
      <c r="K4" s="9" t="s">
        <v>40</v>
      </c>
      <c r="L4" s="5"/>
      <c r="M4" s="5"/>
      <c r="N4" s="5"/>
      <c r="O4" s="5"/>
      <c r="P4" s="5"/>
    </row>
    <row r="5" spans="1:16" x14ac:dyDescent="0.25">
      <c r="A5" t="s">
        <v>33</v>
      </c>
      <c r="B5">
        <v>0.498</v>
      </c>
      <c r="C5" t="s">
        <v>41</v>
      </c>
      <c r="D5" s="6" t="s">
        <v>42</v>
      </c>
      <c r="E5" t="s">
        <v>43</v>
      </c>
    </row>
    <row r="6" spans="1:16" x14ac:dyDescent="0.25">
      <c r="A6" t="s">
        <v>34</v>
      </c>
      <c r="B6">
        <v>0.24399000000000001</v>
      </c>
      <c r="C6" t="s">
        <v>44</v>
      </c>
      <c r="D6" t="s">
        <v>45</v>
      </c>
      <c r="E6" t="s">
        <v>46</v>
      </c>
      <c r="F6" t="s">
        <v>47</v>
      </c>
      <c r="H6">
        <v>7.7476000000000003E-2</v>
      </c>
      <c r="I6" t="s">
        <v>44</v>
      </c>
      <c r="J6" t="s">
        <v>45</v>
      </c>
      <c r="K6" t="s">
        <v>48</v>
      </c>
      <c r="L6" t="s">
        <v>47</v>
      </c>
    </row>
    <row r="7" spans="1:16" x14ac:dyDescent="0.25">
      <c r="A7" t="s">
        <v>152</v>
      </c>
      <c r="B7">
        <v>1.5416000000000001</v>
      </c>
      <c r="C7" t="s">
        <v>49</v>
      </c>
      <c r="D7" t="s">
        <v>45</v>
      </c>
      <c r="E7" t="s">
        <v>50</v>
      </c>
      <c r="F7" t="s">
        <v>47</v>
      </c>
    </row>
    <row r="8" spans="1:16" x14ac:dyDescent="0.25">
      <c r="A8" t="s">
        <v>51</v>
      </c>
      <c r="B8">
        <v>5.1510999999999996</v>
      </c>
      <c r="C8" t="s">
        <v>49</v>
      </c>
      <c r="D8" t="s">
        <v>45</v>
      </c>
      <c r="E8" t="s">
        <v>52</v>
      </c>
      <c r="F8" t="s">
        <v>47</v>
      </c>
    </row>
    <row r="9" spans="1:16" x14ac:dyDescent="0.25">
      <c r="A9" t="s">
        <v>199</v>
      </c>
      <c r="B9">
        <v>0.29304999999999998</v>
      </c>
      <c r="C9" t="s">
        <v>145</v>
      </c>
      <c r="D9" t="s">
        <v>45</v>
      </c>
      <c r="E9" t="s">
        <v>222</v>
      </c>
    </row>
    <row r="10" spans="1:16" x14ac:dyDescent="0.25">
      <c r="A10" t="s">
        <v>14</v>
      </c>
      <c r="B10">
        <v>4.7489999999999997E-2</v>
      </c>
      <c r="C10" t="s">
        <v>49</v>
      </c>
      <c r="D10" t="s">
        <v>45</v>
      </c>
      <c r="E10" t="s">
        <v>53</v>
      </c>
      <c r="F10" t="s">
        <v>47</v>
      </c>
      <c r="H10">
        <v>1.036</v>
      </c>
      <c r="I10" t="s">
        <v>54</v>
      </c>
      <c r="J10" s="6" t="s">
        <v>55</v>
      </c>
      <c r="K10" t="s">
        <v>56</v>
      </c>
    </row>
    <row r="11" spans="1:16" x14ac:dyDescent="0.25">
      <c r="A11" t="s">
        <v>15</v>
      </c>
      <c r="B11">
        <v>2.8471000000000002</v>
      </c>
      <c r="C11" t="s">
        <v>49</v>
      </c>
      <c r="D11" t="s">
        <v>45</v>
      </c>
      <c r="E11" t="s">
        <v>57</v>
      </c>
      <c r="F11" t="s">
        <v>47</v>
      </c>
    </row>
    <row r="12" spans="1:16" x14ac:dyDescent="0.25">
      <c r="A12" t="s">
        <v>58</v>
      </c>
      <c r="B12">
        <v>6.2132E-2</v>
      </c>
      <c r="C12" t="s">
        <v>49</v>
      </c>
      <c r="D12" t="s">
        <v>45</v>
      </c>
      <c r="E12" t="s">
        <v>59</v>
      </c>
      <c r="F12" t="s">
        <v>47</v>
      </c>
    </row>
    <row r="13" spans="1:16" x14ac:dyDescent="0.25">
      <c r="A13" t="s">
        <v>4</v>
      </c>
      <c r="B13">
        <v>3.3595000000000002</v>
      </c>
      <c r="C13" t="s">
        <v>49</v>
      </c>
      <c r="D13" t="s">
        <v>45</v>
      </c>
      <c r="E13" t="s">
        <v>60</v>
      </c>
      <c r="F13" t="s">
        <v>47</v>
      </c>
    </row>
    <row r="14" spans="1:16" x14ac:dyDescent="0.25">
      <c r="A14" t="s">
        <v>111</v>
      </c>
      <c r="B14">
        <v>0.63944000000000001</v>
      </c>
      <c r="C14" t="s">
        <v>44</v>
      </c>
      <c r="D14" t="s">
        <v>45</v>
      </c>
      <c r="E14" t="s">
        <v>61</v>
      </c>
      <c r="F14" t="s">
        <v>47</v>
      </c>
    </row>
    <row r="15" spans="1:16" x14ac:dyDescent="0.25">
      <c r="A15" t="s">
        <v>112</v>
      </c>
      <c r="B15">
        <v>2.5968559999999998</v>
      </c>
      <c r="C15" t="s">
        <v>44</v>
      </c>
      <c r="D15" t="s">
        <v>45</v>
      </c>
      <c r="E15" t="s">
        <v>113</v>
      </c>
    </row>
    <row r="16" spans="1:16" x14ac:dyDescent="0.25">
      <c r="A16" t="s">
        <v>35</v>
      </c>
      <c r="B16">
        <v>0.19761999999999999</v>
      </c>
      <c r="C16" t="s">
        <v>49</v>
      </c>
      <c r="D16" t="s">
        <v>45</v>
      </c>
      <c r="E16" t="s">
        <v>62</v>
      </c>
      <c r="F16" t="s">
        <v>47</v>
      </c>
      <c r="H16">
        <v>7.4899999999999994E-2</v>
      </c>
      <c r="I16" t="s">
        <v>49</v>
      </c>
      <c r="J16" s="6" t="s">
        <v>55</v>
      </c>
      <c r="K16" t="s">
        <v>63</v>
      </c>
    </row>
    <row r="17" spans="1:15" x14ac:dyDescent="0.25">
      <c r="A17" t="s">
        <v>36</v>
      </c>
      <c r="B17">
        <v>4.5742000000000003</v>
      </c>
      <c r="C17" t="s">
        <v>49</v>
      </c>
      <c r="D17" t="s">
        <v>45</v>
      </c>
      <c r="E17" t="s">
        <v>64</v>
      </c>
      <c r="F17" t="s">
        <v>47</v>
      </c>
      <c r="H17">
        <v>2.0299999999999998</v>
      </c>
      <c r="I17" t="s">
        <v>49</v>
      </c>
      <c r="J17" s="6" t="s">
        <v>55</v>
      </c>
      <c r="K17" s="7" t="s">
        <v>65</v>
      </c>
    </row>
    <row r="18" spans="1:15" x14ac:dyDescent="0.25">
      <c r="A18" t="s">
        <v>153</v>
      </c>
      <c r="B18" s="78">
        <v>4.9490999999999996</v>
      </c>
      <c r="C18" t="s">
        <v>49</v>
      </c>
      <c r="D18" t="s">
        <v>45</v>
      </c>
      <c r="E18" t="s">
        <v>171</v>
      </c>
      <c r="J18" s="6"/>
      <c r="K18" s="7"/>
    </row>
    <row r="19" spans="1:15" x14ac:dyDescent="0.25">
      <c r="A19" t="s">
        <v>66</v>
      </c>
      <c r="B19">
        <v>7.5907</v>
      </c>
      <c r="C19" t="s">
        <v>49</v>
      </c>
      <c r="D19" t="s">
        <v>45</v>
      </c>
      <c r="E19" t="s">
        <v>67</v>
      </c>
      <c r="F19" t="s">
        <v>47</v>
      </c>
      <c r="H19">
        <v>17.3</v>
      </c>
      <c r="I19" t="s">
        <v>49</v>
      </c>
      <c r="J19" s="6" t="s">
        <v>55</v>
      </c>
      <c r="K19" t="s">
        <v>68</v>
      </c>
      <c r="N19">
        <v>19.492999999999999</v>
      </c>
      <c r="O19" t="s">
        <v>69</v>
      </c>
    </row>
    <row r="20" spans="1:15" x14ac:dyDescent="0.25">
      <c r="A20" t="s">
        <v>70</v>
      </c>
      <c r="B20">
        <v>1.0824</v>
      </c>
      <c r="C20" t="s">
        <v>49</v>
      </c>
      <c r="D20" t="s">
        <v>45</v>
      </c>
      <c r="E20" t="s">
        <v>71</v>
      </c>
      <c r="F20" t="s">
        <v>47</v>
      </c>
    </row>
    <row r="21" spans="1:15" x14ac:dyDescent="0.25">
      <c r="A21" t="s">
        <v>72</v>
      </c>
      <c r="B21">
        <v>0.25045000000000001</v>
      </c>
      <c r="C21" t="s">
        <v>49</v>
      </c>
      <c r="D21" t="s">
        <v>45</v>
      </c>
      <c r="E21" t="s">
        <v>73</v>
      </c>
      <c r="F21" t="s">
        <v>47</v>
      </c>
    </row>
    <row r="22" spans="1:15" x14ac:dyDescent="0.25">
      <c r="A22" t="s">
        <v>74</v>
      </c>
      <c r="B22">
        <v>2.3275999999999999</v>
      </c>
      <c r="C22" t="s">
        <v>49</v>
      </c>
      <c r="D22" t="s">
        <v>45</v>
      </c>
      <c r="E22" t="s">
        <v>75</v>
      </c>
      <c r="F22" t="s">
        <v>47</v>
      </c>
      <c r="H22">
        <v>0.73692999999999997</v>
      </c>
      <c r="I22" t="s">
        <v>49</v>
      </c>
      <c r="J22" t="s">
        <v>45</v>
      </c>
      <c r="K22" t="s">
        <v>76</v>
      </c>
      <c r="N22">
        <v>2.9079999999999999</v>
      </c>
      <c r="O22" t="s">
        <v>77</v>
      </c>
    </row>
    <row r="23" spans="1:15" x14ac:dyDescent="0.25">
      <c r="A23" t="s">
        <v>78</v>
      </c>
      <c r="B23">
        <v>4.3345999999999999E-4</v>
      </c>
      <c r="C23" t="s">
        <v>49</v>
      </c>
      <c r="D23" t="s">
        <v>45</v>
      </c>
      <c r="E23" t="s">
        <v>79</v>
      </c>
      <c r="F23" t="s">
        <v>47</v>
      </c>
    </row>
    <row r="24" spans="1:15" x14ac:dyDescent="0.25">
      <c r="A24" t="s">
        <v>173</v>
      </c>
      <c r="B24">
        <v>0.31935000000000002</v>
      </c>
      <c r="C24" t="s">
        <v>44</v>
      </c>
      <c r="D24" t="s">
        <v>45</v>
      </c>
      <c r="E24" t="s">
        <v>174</v>
      </c>
    </row>
    <row r="25" spans="1:15" x14ac:dyDescent="0.25">
      <c r="A25" t="s">
        <v>11</v>
      </c>
      <c r="B25">
        <v>1.1412</v>
      </c>
      <c r="C25" t="s">
        <v>145</v>
      </c>
      <c r="D25" t="s">
        <v>45</v>
      </c>
      <c r="E25" t="s">
        <v>147</v>
      </c>
    </row>
    <row r="26" spans="1:15" x14ac:dyDescent="0.25">
      <c r="A26" s="57" t="s">
        <v>119</v>
      </c>
      <c r="B26" s="58">
        <v>0.35743999999999998</v>
      </c>
      <c r="C26" s="57" t="s">
        <v>131</v>
      </c>
      <c r="D26" t="s">
        <v>45</v>
      </c>
      <c r="E26" s="57" t="s">
        <v>133</v>
      </c>
    </row>
    <row r="27" spans="1:15" x14ac:dyDescent="0.25">
      <c r="A27" s="57" t="s">
        <v>120</v>
      </c>
      <c r="B27" s="45">
        <v>1.1790999999999999E-2</v>
      </c>
      <c r="C27" s="57" t="s">
        <v>132</v>
      </c>
      <c r="D27" t="s">
        <v>45</v>
      </c>
      <c r="E27" s="57" t="s">
        <v>134</v>
      </c>
    </row>
    <row r="28" spans="1:15" x14ac:dyDescent="0.25">
      <c r="A28" s="57" t="s">
        <v>121</v>
      </c>
      <c r="B28" s="58">
        <v>6.0212000000000002E-2</v>
      </c>
      <c r="C28" s="57" t="s">
        <v>132</v>
      </c>
      <c r="D28" t="s">
        <v>45</v>
      </c>
      <c r="E28" t="s">
        <v>135</v>
      </c>
    </row>
    <row r="29" spans="1:15" x14ac:dyDescent="0.25">
      <c r="A29" s="57" t="s">
        <v>122</v>
      </c>
      <c r="B29" s="58">
        <v>8.8291999999999995E-2</v>
      </c>
      <c r="C29" s="57" t="s">
        <v>132</v>
      </c>
      <c r="D29" t="s">
        <v>45</v>
      </c>
      <c r="E29" t="s">
        <v>136</v>
      </c>
    </row>
    <row r="30" spans="1:15" x14ac:dyDescent="0.25">
      <c r="A30" s="57" t="s">
        <v>123</v>
      </c>
      <c r="B30" s="58">
        <v>0</v>
      </c>
      <c r="C30" s="57" t="s">
        <v>131</v>
      </c>
      <c r="D30" t="s">
        <v>45</v>
      </c>
      <c r="E30" s="42" t="s">
        <v>43</v>
      </c>
    </row>
    <row r="31" spans="1:15" x14ac:dyDescent="0.25">
      <c r="A31" s="57" t="s">
        <v>124</v>
      </c>
      <c r="B31" s="58">
        <v>5.3696000000000001E-2</v>
      </c>
      <c r="C31" s="57" t="s">
        <v>131</v>
      </c>
      <c r="D31" t="s">
        <v>45</v>
      </c>
      <c r="E31" s="57" t="s">
        <v>137</v>
      </c>
    </row>
    <row r="32" spans="1:15" x14ac:dyDescent="0.25">
      <c r="A32" s="57" t="s">
        <v>125</v>
      </c>
      <c r="B32" s="58">
        <v>6.6286999999999999E-2</v>
      </c>
      <c r="C32" s="57" t="s">
        <v>132</v>
      </c>
      <c r="D32" t="s">
        <v>45</v>
      </c>
      <c r="E32" t="s">
        <v>138</v>
      </c>
    </row>
    <row r="33" spans="1:6" x14ac:dyDescent="0.25">
      <c r="A33" s="57" t="s">
        <v>126</v>
      </c>
      <c r="B33" s="58">
        <v>5.2297000000000003E-2</v>
      </c>
      <c r="C33" s="57" t="s">
        <v>132</v>
      </c>
      <c r="D33" t="s">
        <v>45</v>
      </c>
      <c r="E33" t="s">
        <v>139</v>
      </c>
    </row>
    <row r="34" spans="1:6" x14ac:dyDescent="0.25">
      <c r="A34" s="57" t="s">
        <v>127</v>
      </c>
      <c r="B34" s="58">
        <v>0.10707999999999999</v>
      </c>
      <c r="C34" s="57" t="s">
        <v>132</v>
      </c>
      <c r="D34" t="s">
        <v>45</v>
      </c>
      <c r="E34" s="57" t="s">
        <v>140</v>
      </c>
    </row>
    <row r="35" spans="1:6" x14ac:dyDescent="0.25">
      <c r="A35" s="57" t="s">
        <v>128</v>
      </c>
      <c r="B35" s="58">
        <v>0.10906</v>
      </c>
      <c r="C35" s="57" t="s">
        <v>132</v>
      </c>
      <c r="D35" t="s">
        <v>45</v>
      </c>
      <c r="E35" t="s">
        <v>141</v>
      </c>
    </row>
    <row r="36" spans="1:6" x14ac:dyDescent="0.25">
      <c r="A36" s="57" t="s">
        <v>129</v>
      </c>
      <c r="B36" s="58">
        <v>0.13250999999999999</v>
      </c>
      <c r="C36" s="57" t="s">
        <v>132</v>
      </c>
      <c r="D36" t="s">
        <v>45</v>
      </c>
      <c r="E36" t="s">
        <v>142</v>
      </c>
    </row>
    <row r="37" spans="1:6" x14ac:dyDescent="0.25">
      <c r="A37" s="57" t="s">
        <v>130</v>
      </c>
      <c r="B37" s="58">
        <v>0.17269999999999999</v>
      </c>
      <c r="C37" s="57" t="s">
        <v>132</v>
      </c>
      <c r="D37" t="s">
        <v>45</v>
      </c>
      <c r="E37" s="57" t="s">
        <v>143</v>
      </c>
    </row>
    <row r="38" spans="1:6" s="86" customFormat="1" x14ac:dyDescent="0.25">
      <c r="A38" s="84" t="s">
        <v>144</v>
      </c>
      <c r="B38" s="85">
        <v>17.71</v>
      </c>
      <c r="C38" s="84" t="s">
        <v>145</v>
      </c>
      <c r="D38" s="86" t="s">
        <v>45</v>
      </c>
      <c r="E38" s="86" t="s">
        <v>146</v>
      </c>
    </row>
    <row r="39" spans="1:6" x14ac:dyDescent="0.25">
      <c r="A39" s="57" t="s">
        <v>156</v>
      </c>
      <c r="B39">
        <v>5.3999999999999999E-2</v>
      </c>
      <c r="C39" s="57" t="s">
        <v>157</v>
      </c>
      <c r="D39" t="s">
        <v>45</v>
      </c>
    </row>
    <row r="40" spans="1:6" x14ac:dyDescent="0.25">
      <c r="A40" s="57" t="s">
        <v>175</v>
      </c>
      <c r="B40" s="58">
        <v>2.0295000000000001</v>
      </c>
      <c r="C40" s="84" t="s">
        <v>145</v>
      </c>
      <c r="D40" t="s">
        <v>45</v>
      </c>
      <c r="E40" t="s">
        <v>178</v>
      </c>
    </row>
    <row r="41" spans="1:6" x14ac:dyDescent="0.25">
      <c r="A41" s="57" t="s">
        <v>180</v>
      </c>
      <c r="B41" s="58">
        <v>4.0641999999999996</v>
      </c>
      <c r="C41" s="84" t="s">
        <v>145</v>
      </c>
      <c r="D41" t="s">
        <v>45</v>
      </c>
      <c r="E41" t="s">
        <v>179</v>
      </c>
      <c r="F41" t="s">
        <v>181</v>
      </c>
    </row>
    <row r="42" spans="1:6" x14ac:dyDescent="0.25">
      <c r="A42" t="s">
        <v>223</v>
      </c>
      <c r="B42">
        <v>0.15328</v>
      </c>
      <c r="C42" t="s">
        <v>210</v>
      </c>
      <c r="D42" t="s">
        <v>45</v>
      </c>
      <c r="E42" t="s">
        <v>212</v>
      </c>
    </row>
    <row r="43" spans="1:6" x14ac:dyDescent="0.25">
      <c r="A43" s="57" t="s">
        <v>235</v>
      </c>
      <c r="B43" s="78">
        <v>4.2744999999999997</v>
      </c>
      <c r="C43" s="84" t="s">
        <v>145</v>
      </c>
      <c r="D43" t="s">
        <v>45</v>
      </c>
      <c r="E43" t="s">
        <v>234</v>
      </c>
    </row>
    <row r="44" spans="1:6" ht="16.5" x14ac:dyDescent="0.3">
      <c r="E44" s="95" t="s">
        <v>231</v>
      </c>
    </row>
  </sheetData>
  <mergeCells count="2">
    <mergeCell ref="B3:E3"/>
    <mergeCell ref="H3:K3"/>
  </mergeCells>
  <hyperlinks>
    <hyperlink ref="D5" r:id="rId1" display="Umweltbundesamt: https://www.umweltbundesamt.de/sites/default/files/medien/1410/publikationen/2023_05_23_climate_change_20-2023_strommix_bf.pdf  " xr:uid="{A985CF8D-42DA-4E38-B3AC-E18756B9659A}"/>
    <hyperlink ref="J19" r:id="rId2" xr:uid="{1D587BEC-9924-4BCC-AD90-F829730B6F2F}"/>
    <hyperlink ref="J10" r:id="rId3" xr:uid="{8E4B09CC-C47E-4338-A121-BDEDEADF9C27}"/>
    <hyperlink ref="J16" r:id="rId4" xr:uid="{929C5249-D39F-4F92-9E67-4C98EAEE6708}"/>
    <hyperlink ref="J17" r:id="rId5" xr:uid="{664B2037-FFAF-422D-93D7-58DBDE727D4D}"/>
  </hyperlinks>
  <pageMargins left="0.7" right="0.7" top="0.78740157499999996" bottom="0.78740157499999996" header="0.3" footer="0.3"/>
  <pageSetup paperSize="9"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34C95-4991-4090-804D-07AD3619BF0D}">
  <dimension ref="A1:K22"/>
  <sheetViews>
    <sheetView workbookViewId="0">
      <selection activeCell="D17" sqref="D17"/>
    </sheetView>
  </sheetViews>
  <sheetFormatPr baseColWidth="10" defaultRowHeight="15" x14ac:dyDescent="0.25"/>
  <cols>
    <col min="2" max="2" width="26.42578125" bestFit="1" customWidth="1"/>
    <col min="4" max="4" width="68.5703125" bestFit="1" customWidth="1"/>
    <col min="6" max="6" width="100.140625" bestFit="1" customWidth="1"/>
    <col min="7" max="8" width="24" bestFit="1" customWidth="1"/>
    <col min="9" max="9" width="13.42578125" customWidth="1"/>
    <col min="10" max="10" width="1.140625" customWidth="1"/>
    <col min="11" max="11" width="12.42578125" bestFit="1" customWidth="1"/>
  </cols>
  <sheetData>
    <row r="1" spans="1:11" x14ac:dyDescent="0.25">
      <c r="A1" s="88" t="s">
        <v>190</v>
      </c>
    </row>
    <row r="2" spans="1:11" x14ac:dyDescent="0.25">
      <c r="A2" s="89" t="s">
        <v>191</v>
      </c>
    </row>
    <row r="3" spans="1:11" x14ac:dyDescent="0.25">
      <c r="A3" s="89" t="s">
        <v>192</v>
      </c>
    </row>
    <row r="4" spans="1:11" x14ac:dyDescent="0.25">
      <c r="A4" s="7"/>
    </row>
    <row r="5" spans="1:11" x14ac:dyDescent="0.25">
      <c r="A5" s="88" t="s">
        <v>193</v>
      </c>
    </row>
    <row r="6" spans="1:11" x14ac:dyDescent="0.25">
      <c r="A6" s="89" t="s">
        <v>194</v>
      </c>
    </row>
    <row r="7" spans="1:11" x14ac:dyDescent="0.25">
      <c r="A7" s="89" t="s">
        <v>195</v>
      </c>
    </row>
    <row r="8" spans="1:11" x14ac:dyDescent="0.25">
      <c r="A8" s="89" t="s">
        <v>196</v>
      </c>
    </row>
    <row r="9" spans="1:11" x14ac:dyDescent="0.25">
      <c r="A9" s="7"/>
    </row>
    <row r="10" spans="1:11" x14ac:dyDescent="0.25">
      <c r="A10" s="88" t="s">
        <v>197</v>
      </c>
    </row>
    <row r="13" spans="1:11" x14ac:dyDescent="0.25">
      <c r="B13" s="51" t="s">
        <v>198</v>
      </c>
      <c r="C13" s="51" t="s">
        <v>202</v>
      </c>
      <c r="D13" s="51" t="s">
        <v>203</v>
      </c>
      <c r="E13" s="51" t="s">
        <v>205</v>
      </c>
      <c r="F13" s="51" t="s">
        <v>29</v>
      </c>
      <c r="G13" s="51" t="s">
        <v>211</v>
      </c>
      <c r="H13" s="51" t="s">
        <v>209</v>
      </c>
      <c r="I13" s="51" t="s">
        <v>213</v>
      </c>
      <c r="K13" s="51" t="s">
        <v>224</v>
      </c>
    </row>
    <row r="14" spans="1:11" x14ac:dyDescent="0.25">
      <c r="B14" t="s">
        <v>226</v>
      </c>
      <c r="C14" t="s">
        <v>204</v>
      </c>
      <c r="D14" t="s">
        <v>206</v>
      </c>
      <c r="E14">
        <v>5.3</v>
      </c>
      <c r="F14" t="s">
        <v>212</v>
      </c>
      <c r="G14">
        <v>0.15328</v>
      </c>
      <c r="H14" t="s">
        <v>210</v>
      </c>
      <c r="I14" s="92">
        <f>Zusammenfassung!C20/1000</f>
        <v>6.6599999999999993E-2</v>
      </c>
      <c r="K14" s="93">
        <f>G14*I14*E14</f>
        <v>5.4104774399999993E-2</v>
      </c>
    </row>
    <row r="15" spans="1:11" x14ac:dyDescent="0.25">
      <c r="B15" t="s">
        <v>200</v>
      </c>
      <c r="C15" t="s">
        <v>204</v>
      </c>
      <c r="D15" t="s">
        <v>207</v>
      </c>
      <c r="E15">
        <v>63.2</v>
      </c>
      <c r="F15" t="s">
        <v>212</v>
      </c>
      <c r="G15">
        <v>0.15328</v>
      </c>
      <c r="H15" t="s">
        <v>210</v>
      </c>
      <c r="I15" s="92">
        <f>Zusammenfassung!C23/1000</f>
        <v>7.4999999999999993E-5</v>
      </c>
      <c r="K15" s="93">
        <f>G15*I15*E15</f>
        <v>7.2654719999999998E-4</v>
      </c>
    </row>
    <row r="16" spans="1:11" x14ac:dyDescent="0.25">
      <c r="B16" t="s">
        <v>201</v>
      </c>
      <c r="C16" t="s">
        <v>204</v>
      </c>
      <c r="D16" t="s">
        <v>208</v>
      </c>
      <c r="E16">
        <v>19.899999999999999</v>
      </c>
      <c r="F16" t="s">
        <v>212</v>
      </c>
      <c r="G16">
        <v>0.15328</v>
      </c>
      <c r="H16" t="s">
        <v>210</v>
      </c>
      <c r="I16" s="92">
        <f>(Zusammenfassung!C21+Zusammenfassung!C22)/1000</f>
        <v>0.81899999999999995</v>
      </c>
      <c r="K16" s="93">
        <f>G16*I16*E16</f>
        <v>2.4981727679999994</v>
      </c>
    </row>
    <row r="17" spans="1:11" x14ac:dyDescent="0.25">
      <c r="B17" t="s">
        <v>227</v>
      </c>
      <c r="C17" t="s">
        <v>204</v>
      </c>
      <c r="D17" t="s">
        <v>206</v>
      </c>
      <c r="E17">
        <v>5.3</v>
      </c>
      <c r="F17" t="s">
        <v>212</v>
      </c>
      <c r="G17">
        <v>0.15328</v>
      </c>
      <c r="H17" t="s">
        <v>210</v>
      </c>
      <c r="I17" s="92">
        <f>Zusammenfassung!C29/1000</f>
        <v>3.3418500000000011E-2</v>
      </c>
      <c r="K17" s="93">
        <f>G17*I17*E17</f>
        <v>2.7148654704000009E-2</v>
      </c>
    </row>
    <row r="19" spans="1:11" s="51" customFormat="1" x14ac:dyDescent="0.25">
      <c r="B19" s="51" t="s">
        <v>214</v>
      </c>
      <c r="D19" s="53" t="s">
        <v>215</v>
      </c>
      <c r="E19" s="51" t="s">
        <v>211</v>
      </c>
      <c r="F19" s="51" t="s">
        <v>209</v>
      </c>
    </row>
    <row r="20" spans="1:11" x14ac:dyDescent="0.25">
      <c r="B20" t="s">
        <v>199</v>
      </c>
      <c r="D20" t="s">
        <v>216</v>
      </c>
      <c r="E20">
        <v>4.7489999999999997E-2</v>
      </c>
      <c r="F20" t="s">
        <v>145</v>
      </c>
    </row>
    <row r="21" spans="1:11" x14ac:dyDescent="0.25">
      <c r="A21" t="s">
        <v>218</v>
      </c>
      <c r="B21" s="52" t="s">
        <v>200</v>
      </c>
      <c r="C21" s="52"/>
      <c r="D21" s="52" t="s">
        <v>216</v>
      </c>
      <c r="E21" s="52">
        <v>4.7489999999999997E-2</v>
      </c>
      <c r="F21" t="s">
        <v>145</v>
      </c>
    </row>
    <row r="22" spans="1:11" x14ac:dyDescent="0.25">
      <c r="B22" t="s">
        <v>201</v>
      </c>
      <c r="D22" t="s">
        <v>217</v>
      </c>
      <c r="E22">
        <v>2.4735</v>
      </c>
      <c r="F22" t="s">
        <v>145</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1858-49DA-44A3-94D5-6C34558AF177}">
  <dimension ref="A1:L27"/>
  <sheetViews>
    <sheetView workbookViewId="0">
      <selection activeCell="J24" sqref="J24"/>
    </sheetView>
  </sheetViews>
  <sheetFormatPr baseColWidth="10" defaultRowHeight="15" x14ac:dyDescent="0.25"/>
  <cols>
    <col min="2" max="2" width="38" bestFit="1" customWidth="1"/>
  </cols>
  <sheetData>
    <row r="1" spans="1:10" x14ac:dyDescent="0.25">
      <c r="A1" s="51"/>
      <c r="B1" s="51"/>
      <c r="C1" s="133" t="s">
        <v>320</v>
      </c>
      <c r="D1" s="134"/>
      <c r="E1" s="134"/>
      <c r="F1" s="134"/>
      <c r="G1" s="134"/>
      <c r="H1" s="134"/>
      <c r="I1" s="134"/>
      <c r="J1" s="134"/>
    </row>
    <row r="2" spans="1:10" x14ac:dyDescent="0.25">
      <c r="A2" s="99" t="s">
        <v>116</v>
      </c>
      <c r="B2" s="115" t="s">
        <v>321</v>
      </c>
      <c r="C2" s="116" t="s">
        <v>119</v>
      </c>
      <c r="D2" s="117" t="s">
        <v>120</v>
      </c>
      <c r="E2" s="117" t="s">
        <v>121</v>
      </c>
      <c r="F2" s="117" t="s">
        <v>122</v>
      </c>
      <c r="G2" s="117" t="s">
        <v>123</v>
      </c>
      <c r="H2" s="117" t="s">
        <v>124</v>
      </c>
      <c r="I2" s="117" t="s">
        <v>322</v>
      </c>
      <c r="J2" s="117" t="s">
        <v>117</v>
      </c>
    </row>
    <row r="3" spans="1:10" x14ac:dyDescent="0.25">
      <c r="A3" s="135" t="s">
        <v>295</v>
      </c>
      <c r="B3" s="135"/>
      <c r="C3" s="135"/>
      <c r="D3" s="135"/>
      <c r="E3" s="135"/>
      <c r="F3" s="135"/>
      <c r="G3" s="135"/>
      <c r="H3" s="135"/>
      <c r="I3" s="135"/>
      <c r="J3" s="135"/>
    </row>
    <row r="4" spans="1:10" x14ac:dyDescent="0.25">
      <c r="A4" s="136"/>
      <c r="B4" s="136"/>
      <c r="C4" s="136"/>
      <c r="D4" s="136"/>
      <c r="E4" s="136"/>
      <c r="F4" s="136"/>
      <c r="G4" s="136"/>
      <c r="H4" s="136"/>
      <c r="I4" s="136"/>
      <c r="J4" s="136"/>
    </row>
    <row r="5" spans="1:10" x14ac:dyDescent="0.25">
      <c r="A5" s="136"/>
      <c r="B5" s="136"/>
      <c r="C5" s="136"/>
      <c r="D5" s="136"/>
      <c r="E5" s="136"/>
      <c r="F5" s="136"/>
      <c r="G5" s="136"/>
      <c r="H5" s="136"/>
      <c r="I5" s="136"/>
      <c r="J5" s="136"/>
    </row>
    <row r="6" spans="1:10" x14ac:dyDescent="0.25">
      <c r="B6" s="119"/>
      <c r="C6" s="118"/>
    </row>
    <row r="7" spans="1:10" x14ac:dyDescent="0.25">
      <c r="B7" s="120"/>
      <c r="C7" s="120"/>
      <c r="D7" s="121"/>
      <c r="E7" s="121"/>
      <c r="F7" s="122"/>
      <c r="G7" s="122"/>
      <c r="H7" s="122"/>
      <c r="I7" s="122"/>
      <c r="J7" s="121"/>
    </row>
    <row r="8" spans="1:10" x14ac:dyDescent="0.25">
      <c r="B8" s="119"/>
      <c r="C8" s="118"/>
    </row>
    <row r="9" spans="1:10" x14ac:dyDescent="0.25">
      <c r="B9" s="119"/>
      <c r="C9" s="118"/>
    </row>
    <row r="10" spans="1:10" x14ac:dyDescent="0.25">
      <c r="B10" s="119"/>
      <c r="C10" s="118"/>
    </row>
    <row r="11" spans="1:10" x14ac:dyDescent="0.25">
      <c r="B11" s="119"/>
    </row>
    <row r="12" spans="1:10" x14ac:dyDescent="0.25">
      <c r="A12" s="122"/>
      <c r="B12" s="123"/>
      <c r="C12" s="122"/>
      <c r="D12" s="121"/>
      <c r="E12" s="122"/>
      <c r="F12" s="122"/>
      <c r="G12" s="122"/>
      <c r="H12" s="122"/>
      <c r="I12" s="122"/>
      <c r="J12" s="121"/>
    </row>
    <row r="13" spans="1:10" x14ac:dyDescent="0.25">
      <c r="B13" s="119"/>
    </row>
    <row r="14" spans="1:10" x14ac:dyDescent="0.25">
      <c r="B14" s="119"/>
    </row>
    <row r="15" spans="1:10" x14ac:dyDescent="0.25">
      <c r="B15" s="119"/>
    </row>
    <row r="16" spans="1:10" x14ac:dyDescent="0.25">
      <c r="B16" s="119"/>
    </row>
    <row r="17" spans="1:12" x14ac:dyDescent="0.25">
      <c r="B17" s="119"/>
    </row>
    <row r="18" spans="1:12" x14ac:dyDescent="0.25">
      <c r="B18" s="119"/>
    </row>
    <row r="19" spans="1:12" x14ac:dyDescent="0.25">
      <c r="B19" s="119"/>
    </row>
    <row r="20" spans="1:12" x14ac:dyDescent="0.25">
      <c r="B20" s="119"/>
    </row>
    <row r="21" spans="1:12" x14ac:dyDescent="0.25">
      <c r="B21" s="119"/>
    </row>
    <row r="22" spans="1:12" x14ac:dyDescent="0.25">
      <c r="B22" s="119"/>
    </row>
    <row r="23" spans="1:12" x14ac:dyDescent="0.25">
      <c r="B23" s="119"/>
    </row>
    <row r="24" spans="1:12" x14ac:dyDescent="0.25">
      <c r="A24" s="51" t="s">
        <v>323</v>
      </c>
      <c r="B24" s="119"/>
      <c r="C24" t="e">
        <f t="shared" ref="C24:I24" si="0">40*SUMPRODUCT($B$1:$B$10,C3:C22)</f>
        <v>#VALUE!</v>
      </c>
      <c r="D24" t="e">
        <f t="shared" si="0"/>
        <v>#VALUE!</v>
      </c>
      <c r="E24" t="e">
        <f t="shared" si="0"/>
        <v>#VALUE!</v>
      </c>
      <c r="F24" t="e">
        <f t="shared" si="0"/>
        <v>#VALUE!</v>
      </c>
      <c r="G24" t="e">
        <f t="shared" si="0"/>
        <v>#VALUE!</v>
      </c>
      <c r="H24" t="e">
        <f t="shared" si="0"/>
        <v>#VALUE!</v>
      </c>
      <c r="I24" t="e">
        <f t="shared" si="0"/>
        <v>#VALUE!</v>
      </c>
      <c r="J24" s="124">
        <f>40*SUM(J3:J22)</f>
        <v>0</v>
      </c>
      <c r="L24" t="s">
        <v>324</v>
      </c>
    </row>
    <row r="25" spans="1:12" x14ac:dyDescent="0.25">
      <c r="A25" t="s">
        <v>325</v>
      </c>
      <c r="B25" s="119"/>
      <c r="C25" s="58">
        <v>0.35743999999999998</v>
      </c>
      <c r="D25" s="45">
        <v>1.1790999999999999E-2</v>
      </c>
      <c r="E25" s="58">
        <v>6.0212000000000002E-2</v>
      </c>
      <c r="F25" s="58">
        <v>8.8291999999999995E-2</v>
      </c>
      <c r="G25" s="58">
        <v>0</v>
      </c>
      <c r="H25" s="58">
        <v>5.3696000000000001E-2</v>
      </c>
      <c r="I25" s="58">
        <v>6.6286999999999999E-2</v>
      </c>
    </row>
    <row r="26" spans="1:12" x14ac:dyDescent="0.25">
      <c r="A26" s="51" t="s">
        <v>224</v>
      </c>
      <c r="B26" s="119"/>
      <c r="C26" t="e">
        <f>C24*C25</f>
        <v>#VALUE!</v>
      </c>
      <c r="D26" t="e">
        <f t="shared" ref="D26:I26" si="1">D24*D25</f>
        <v>#VALUE!</v>
      </c>
      <c r="E26" t="e">
        <f t="shared" si="1"/>
        <v>#VALUE!</v>
      </c>
      <c r="F26" t="e">
        <f t="shared" si="1"/>
        <v>#VALUE!</v>
      </c>
      <c r="G26" t="e">
        <f t="shared" si="1"/>
        <v>#VALUE!</v>
      </c>
      <c r="H26" t="e">
        <f t="shared" si="1"/>
        <v>#VALUE!</v>
      </c>
      <c r="I26" t="e">
        <f t="shared" si="1"/>
        <v>#VALUE!</v>
      </c>
    </row>
    <row r="27" spans="1:12" x14ac:dyDescent="0.25">
      <c r="B27" s="119"/>
      <c r="H27" s="58"/>
    </row>
  </sheetData>
  <mergeCells count="2">
    <mergeCell ref="C1:J1"/>
    <mergeCell ref="A3:J5"/>
  </mergeCells>
  <conditionalFormatting sqref="C6:J6 C8:J11 C13:J21">
    <cfRule type="cellIs" dxfId="1" priority="1" operator="notEqual">
      <formula>0</formula>
    </cfRule>
  </conditionalFormatting>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C5C68-E3C9-4E8E-89FD-00526C7FAAFD}">
  <dimension ref="A1:AA57"/>
  <sheetViews>
    <sheetView workbookViewId="0">
      <selection activeCell="M13" sqref="M13"/>
    </sheetView>
  </sheetViews>
  <sheetFormatPr baseColWidth="10" defaultRowHeight="15" x14ac:dyDescent="0.25"/>
  <cols>
    <col min="23" max="23" width="3.7109375" customWidth="1"/>
  </cols>
  <sheetData>
    <row r="1" spans="1:27" ht="75" x14ac:dyDescent="0.25">
      <c r="A1" s="98" t="s">
        <v>334</v>
      </c>
      <c r="B1" s="98" t="s">
        <v>236</v>
      </c>
      <c r="C1" s="99" t="s">
        <v>237</v>
      </c>
      <c r="D1" s="99" t="s">
        <v>238</v>
      </c>
      <c r="E1" s="98" t="s">
        <v>239</v>
      </c>
      <c r="F1" s="99"/>
      <c r="G1" s="99"/>
      <c r="H1" s="99" t="s">
        <v>240</v>
      </c>
      <c r="I1" s="98" t="s">
        <v>241</v>
      </c>
      <c r="J1" s="100" t="s">
        <v>242</v>
      </c>
      <c r="K1" s="100" t="s">
        <v>243</v>
      </c>
      <c r="L1" s="98" t="s">
        <v>244</v>
      </c>
      <c r="M1" s="101" t="s">
        <v>245</v>
      </c>
      <c r="N1" s="102" t="s">
        <v>246</v>
      </c>
      <c r="O1" s="103" t="s">
        <v>247</v>
      </c>
      <c r="P1" s="104" t="s">
        <v>115</v>
      </c>
      <c r="Q1" s="101" t="s">
        <v>248</v>
      </c>
      <c r="R1" s="103" t="s">
        <v>249</v>
      </c>
      <c r="U1" s="137" t="s">
        <v>308</v>
      </c>
      <c r="V1" s="137"/>
      <c r="W1" s="107"/>
      <c r="X1" s="136" t="s">
        <v>319</v>
      </c>
      <c r="Y1" s="136"/>
      <c r="Z1" s="136"/>
      <c r="AA1" s="136"/>
    </row>
    <row r="2" spans="1:27" x14ac:dyDescent="0.25">
      <c r="A2" s="136" t="s">
        <v>337</v>
      </c>
      <c r="B2" s="136"/>
      <c r="C2" s="136"/>
      <c r="D2" s="136"/>
      <c r="E2" s="136"/>
      <c r="F2" s="136"/>
      <c r="G2" s="136"/>
      <c r="H2" s="136"/>
      <c r="I2" s="136"/>
      <c r="J2" s="136"/>
      <c r="K2" s="136"/>
      <c r="L2" s="136"/>
      <c r="M2" s="136"/>
      <c r="N2" s="136"/>
      <c r="O2" s="136"/>
      <c r="P2" s="136"/>
      <c r="Q2" s="136"/>
      <c r="R2" s="136"/>
      <c r="U2" s="51" t="s">
        <v>296</v>
      </c>
      <c r="V2" s="51" t="s">
        <v>297</v>
      </c>
      <c r="W2" s="51"/>
      <c r="X2" s="51" t="s">
        <v>29</v>
      </c>
      <c r="Y2" s="51" t="s">
        <v>131</v>
      </c>
      <c r="Z2" s="51" t="s">
        <v>29</v>
      </c>
      <c r="AA2" s="51" t="s">
        <v>131</v>
      </c>
    </row>
    <row r="3" spans="1:27" x14ac:dyDescent="0.25">
      <c r="A3" s="136"/>
      <c r="B3" s="136"/>
      <c r="C3" s="136"/>
      <c r="D3" s="136"/>
      <c r="E3" s="136"/>
      <c r="F3" s="136"/>
      <c r="G3" s="136"/>
      <c r="H3" s="136"/>
      <c r="I3" s="136"/>
      <c r="J3" s="136"/>
      <c r="K3" s="136"/>
      <c r="L3" s="136"/>
      <c r="M3" s="136"/>
      <c r="N3" s="136"/>
      <c r="O3" s="136"/>
      <c r="P3" s="136"/>
      <c r="Q3" s="136"/>
      <c r="R3" s="136"/>
      <c r="U3" t="s">
        <v>250</v>
      </c>
      <c r="V3" s="51"/>
      <c r="W3" s="51"/>
      <c r="X3" t="s">
        <v>119</v>
      </c>
      <c r="Y3" s="58">
        <v>0.35743999999999998</v>
      </c>
      <c r="Z3" s="109" t="s">
        <v>127</v>
      </c>
      <c r="AA3" s="110">
        <v>0.10707999999999999</v>
      </c>
    </row>
    <row r="4" spans="1:27" x14ac:dyDescent="0.25">
      <c r="A4" s="136"/>
      <c r="B4" s="136"/>
      <c r="C4" s="136"/>
      <c r="D4" s="136"/>
      <c r="E4" s="136"/>
      <c r="F4" s="136"/>
      <c r="G4" s="136"/>
      <c r="H4" s="136"/>
      <c r="I4" s="136"/>
      <c r="J4" s="136"/>
      <c r="K4" s="136"/>
      <c r="L4" s="136"/>
      <c r="M4" s="136"/>
      <c r="N4" s="136"/>
      <c r="O4" s="136"/>
      <c r="P4" s="136"/>
      <c r="Q4" s="136"/>
      <c r="R4" s="136"/>
      <c r="U4" t="s">
        <v>251</v>
      </c>
      <c r="V4">
        <v>56</v>
      </c>
      <c r="X4" t="s">
        <v>121</v>
      </c>
      <c r="Y4" s="58">
        <v>6.0212000000000002E-2</v>
      </c>
      <c r="Z4" s="111" t="s">
        <v>128</v>
      </c>
      <c r="AA4" s="112">
        <v>0.10906</v>
      </c>
    </row>
    <row r="5" spans="1:27" x14ac:dyDescent="0.25">
      <c r="U5" t="s">
        <v>252</v>
      </c>
      <c r="V5">
        <v>25</v>
      </c>
      <c r="X5" t="s">
        <v>120</v>
      </c>
      <c r="Y5" s="45">
        <v>1.1790999999999999E-2</v>
      </c>
      <c r="Z5" s="109" t="s">
        <v>314</v>
      </c>
      <c r="AA5" s="110">
        <v>0.13250999999999999</v>
      </c>
    </row>
    <row r="6" spans="1:27" x14ac:dyDescent="0.25">
      <c r="U6" t="s">
        <v>253</v>
      </c>
      <c r="V6">
        <v>12.2</v>
      </c>
      <c r="X6" s="57" t="s">
        <v>309</v>
      </c>
      <c r="Y6" s="58"/>
      <c r="Z6" s="111" t="s">
        <v>130</v>
      </c>
      <c r="AA6" s="112">
        <v>0.17269999999999999</v>
      </c>
    </row>
    <row r="7" spans="1:27" x14ac:dyDescent="0.25">
      <c r="U7" t="s">
        <v>254</v>
      </c>
      <c r="V7">
        <v>8.6999999999999993</v>
      </c>
      <c r="X7" s="57" t="s">
        <v>310</v>
      </c>
      <c r="Y7" s="58"/>
      <c r="Z7" s="109" t="s">
        <v>315</v>
      </c>
      <c r="AA7" s="110">
        <f>4*0.10708</f>
        <v>0.42831999999999998</v>
      </c>
    </row>
    <row r="8" spans="1:27" x14ac:dyDescent="0.25">
      <c r="U8" t="s">
        <v>255</v>
      </c>
      <c r="V8">
        <v>7.4</v>
      </c>
      <c r="X8" s="57" t="s">
        <v>311</v>
      </c>
      <c r="Y8" s="58">
        <v>0.309</v>
      </c>
      <c r="Z8" s="111" t="s">
        <v>316</v>
      </c>
      <c r="AA8" s="112">
        <f>4*0.10906</f>
        <v>0.43624000000000002</v>
      </c>
    </row>
    <row r="9" spans="1:27" x14ac:dyDescent="0.25">
      <c r="U9" t="s">
        <v>256</v>
      </c>
      <c r="V9">
        <v>27.6</v>
      </c>
      <c r="X9" t="s">
        <v>122</v>
      </c>
      <c r="Y9" s="58">
        <v>8.8291999999999995E-2</v>
      </c>
      <c r="Z9" s="109" t="s">
        <v>317</v>
      </c>
      <c r="AA9" s="110">
        <f>4*0.13251</f>
        <v>0.53003999999999996</v>
      </c>
    </row>
    <row r="10" spans="1:27" x14ac:dyDescent="0.25">
      <c r="U10" t="s">
        <v>257</v>
      </c>
      <c r="V10">
        <v>53.5</v>
      </c>
      <c r="X10" t="s">
        <v>312</v>
      </c>
      <c r="Y10" s="58">
        <v>0</v>
      </c>
      <c r="Z10" s="113" t="s">
        <v>318</v>
      </c>
      <c r="AA10" s="114">
        <f>2.6*0.1727</f>
        <v>0.44901999999999997</v>
      </c>
    </row>
    <row r="11" spans="1:27" x14ac:dyDescent="0.25">
      <c r="U11" t="s">
        <v>298</v>
      </c>
      <c r="V11">
        <v>14.7</v>
      </c>
      <c r="X11" t="s">
        <v>313</v>
      </c>
      <c r="Y11" s="58">
        <v>6.6286999999999999E-2</v>
      </c>
    </row>
    <row r="12" spans="1:27" x14ac:dyDescent="0.25">
      <c r="U12" t="s">
        <v>258</v>
      </c>
      <c r="V12">
        <v>4.7</v>
      </c>
      <c r="X12" s="57" t="s">
        <v>126</v>
      </c>
      <c r="Y12" s="58">
        <v>5.2297000000000003E-2</v>
      </c>
    </row>
    <row r="13" spans="1:27" x14ac:dyDescent="0.25">
      <c r="U13" t="s">
        <v>259</v>
      </c>
      <c r="V13">
        <v>36.200000000000003</v>
      </c>
      <c r="X13" s="57" t="s">
        <v>124</v>
      </c>
      <c r="Y13" s="58">
        <v>5.3696000000000001E-2</v>
      </c>
    </row>
    <row r="14" spans="1:27" x14ac:dyDescent="0.25">
      <c r="U14" t="s">
        <v>260</v>
      </c>
      <c r="V14">
        <v>44.2</v>
      </c>
    </row>
    <row r="15" spans="1:27" x14ac:dyDescent="0.25">
      <c r="U15" t="s">
        <v>261</v>
      </c>
      <c r="V15">
        <v>47.8</v>
      </c>
    </row>
    <row r="16" spans="1:27" x14ac:dyDescent="0.25">
      <c r="U16" t="s">
        <v>262</v>
      </c>
      <c r="V16">
        <v>6.7</v>
      </c>
    </row>
    <row r="17" spans="21:22" x14ac:dyDescent="0.25">
      <c r="U17" t="s">
        <v>263</v>
      </c>
      <c r="V17">
        <v>43</v>
      </c>
    </row>
    <row r="18" spans="21:22" x14ac:dyDescent="0.25">
      <c r="U18" t="s">
        <v>299</v>
      </c>
      <c r="V18">
        <v>51.5</v>
      </c>
    </row>
    <row r="19" spans="21:22" x14ac:dyDescent="0.25">
      <c r="U19" t="s">
        <v>264</v>
      </c>
      <c r="V19">
        <v>58.9</v>
      </c>
    </row>
    <row r="20" spans="21:22" x14ac:dyDescent="0.25">
      <c r="U20" t="s">
        <v>265</v>
      </c>
      <c r="V20">
        <v>62.7</v>
      </c>
    </row>
    <row r="21" spans="21:22" x14ac:dyDescent="0.25">
      <c r="U21" t="s">
        <v>266</v>
      </c>
      <c r="V21">
        <v>25</v>
      </c>
    </row>
    <row r="22" spans="21:22" x14ac:dyDescent="0.25">
      <c r="U22" t="s">
        <v>267</v>
      </c>
      <c r="V22">
        <v>54</v>
      </c>
    </row>
    <row r="23" spans="21:22" x14ac:dyDescent="0.25">
      <c r="U23" t="s">
        <v>268</v>
      </c>
      <c r="V23">
        <v>14.3</v>
      </c>
    </row>
    <row r="24" spans="21:22" x14ac:dyDescent="0.25">
      <c r="U24" t="s">
        <v>269</v>
      </c>
      <c r="V24">
        <v>39</v>
      </c>
    </row>
    <row r="25" spans="21:22" x14ac:dyDescent="0.25">
      <c r="U25" t="s">
        <v>270</v>
      </c>
      <c r="V25">
        <v>68.900000000000006</v>
      </c>
    </row>
    <row r="26" spans="21:22" x14ac:dyDescent="0.25">
      <c r="U26" t="s">
        <v>300</v>
      </c>
      <c r="V26">
        <v>75.599999999999994</v>
      </c>
    </row>
    <row r="27" spans="21:22" x14ac:dyDescent="0.25">
      <c r="U27" t="s">
        <v>271</v>
      </c>
      <c r="V27">
        <v>61.5</v>
      </c>
    </row>
    <row r="28" spans="21:22" x14ac:dyDescent="0.25">
      <c r="U28" t="s">
        <v>272</v>
      </c>
      <c r="V28">
        <v>152.19999999999999</v>
      </c>
    </row>
    <row r="29" spans="21:22" x14ac:dyDescent="0.25">
      <c r="U29" t="s">
        <v>273</v>
      </c>
      <c r="V29">
        <v>19.3</v>
      </c>
    </row>
    <row r="30" spans="21:22" x14ac:dyDescent="0.25">
      <c r="U30" t="s">
        <v>274</v>
      </c>
      <c r="V30">
        <v>14.8</v>
      </c>
    </row>
    <row r="31" spans="21:22" x14ac:dyDescent="0.25">
      <c r="U31" t="s">
        <v>275</v>
      </c>
      <c r="V31">
        <v>10.4</v>
      </c>
    </row>
    <row r="32" spans="21:22" x14ac:dyDescent="0.25">
      <c r="U32" t="s">
        <v>276</v>
      </c>
      <c r="V32">
        <v>90.3</v>
      </c>
    </row>
    <row r="33" spans="21:22" x14ac:dyDescent="0.25">
      <c r="U33" t="s">
        <v>277</v>
      </c>
      <c r="V33">
        <v>22.1</v>
      </c>
    </row>
    <row r="34" spans="21:22" x14ac:dyDescent="0.25">
      <c r="U34" t="s">
        <v>278</v>
      </c>
      <c r="V34">
        <v>22.5</v>
      </c>
    </row>
    <row r="35" spans="21:22" x14ac:dyDescent="0.25">
      <c r="U35" t="s">
        <v>279</v>
      </c>
      <c r="V35">
        <v>54.3</v>
      </c>
    </row>
    <row r="36" spans="21:22" x14ac:dyDescent="0.25">
      <c r="U36" t="s">
        <v>280</v>
      </c>
      <c r="V36">
        <v>22.3</v>
      </c>
    </row>
    <row r="37" spans="21:22" x14ac:dyDescent="0.25">
      <c r="U37" t="s">
        <v>281</v>
      </c>
      <c r="V37">
        <v>19</v>
      </c>
    </row>
    <row r="38" spans="21:22" x14ac:dyDescent="0.25">
      <c r="U38" t="s">
        <v>282</v>
      </c>
      <c r="V38">
        <v>86.2</v>
      </c>
    </row>
    <row r="39" spans="21:22" x14ac:dyDescent="0.25">
      <c r="U39" t="s">
        <v>283</v>
      </c>
      <c r="V39">
        <v>25.5</v>
      </c>
    </row>
    <row r="40" spans="21:22" x14ac:dyDescent="0.25">
      <c r="U40" t="s">
        <v>301</v>
      </c>
      <c r="V40">
        <v>24.2</v>
      </c>
    </row>
    <row r="41" spans="21:22" x14ac:dyDescent="0.25">
      <c r="U41" t="s">
        <v>284</v>
      </c>
      <c r="V41">
        <v>106.4</v>
      </c>
    </row>
    <row r="42" spans="21:22" x14ac:dyDescent="0.25">
      <c r="U42" t="s">
        <v>285</v>
      </c>
      <c r="V42">
        <v>24.5</v>
      </c>
    </row>
    <row r="43" spans="21:22" x14ac:dyDescent="0.25">
      <c r="U43" t="s">
        <v>302</v>
      </c>
      <c r="V43">
        <v>19.100000000000001</v>
      </c>
    </row>
    <row r="44" spans="21:22" x14ac:dyDescent="0.25">
      <c r="U44" t="s">
        <v>286</v>
      </c>
      <c r="V44">
        <v>51.4</v>
      </c>
    </row>
    <row r="45" spans="21:22" x14ac:dyDescent="0.25">
      <c r="U45" t="s">
        <v>303</v>
      </c>
      <c r="V45">
        <v>55.8</v>
      </c>
    </row>
    <row r="46" spans="21:22" x14ac:dyDescent="0.25">
      <c r="U46" t="s">
        <v>287</v>
      </c>
      <c r="V46">
        <v>7</v>
      </c>
    </row>
    <row r="47" spans="21:22" x14ac:dyDescent="0.25">
      <c r="U47" t="s">
        <v>288</v>
      </c>
      <c r="V47">
        <v>6.6</v>
      </c>
    </row>
    <row r="48" spans="21:22" x14ac:dyDescent="0.25">
      <c r="U48" t="s">
        <v>304</v>
      </c>
      <c r="V48">
        <v>77.3</v>
      </c>
    </row>
    <row r="49" spans="21:23" x14ac:dyDescent="0.25">
      <c r="U49" t="s">
        <v>289</v>
      </c>
      <c r="V49">
        <v>43.4</v>
      </c>
    </row>
    <row r="50" spans="21:23" x14ac:dyDescent="0.25">
      <c r="U50" t="s">
        <v>290</v>
      </c>
      <c r="V50">
        <v>32.1</v>
      </c>
    </row>
    <row r="51" spans="21:23" x14ac:dyDescent="0.25">
      <c r="U51" t="s">
        <v>305</v>
      </c>
      <c r="V51">
        <v>10.4</v>
      </c>
    </row>
    <row r="52" spans="21:23" x14ac:dyDescent="0.25">
      <c r="U52" t="s">
        <v>292</v>
      </c>
      <c r="V52">
        <v>11.5</v>
      </c>
    </row>
    <row r="53" spans="21:23" x14ac:dyDescent="0.25">
      <c r="U53" t="s">
        <v>291</v>
      </c>
      <c r="V53">
        <v>63.8</v>
      </c>
    </row>
    <row r="54" spans="21:23" x14ac:dyDescent="0.25">
      <c r="U54" t="s">
        <v>293</v>
      </c>
      <c r="V54">
        <v>16.100000000000001</v>
      </c>
    </row>
    <row r="55" spans="21:23" x14ac:dyDescent="0.25">
      <c r="U55" t="s">
        <v>306</v>
      </c>
      <c r="V55">
        <v>38.5</v>
      </c>
    </row>
    <row r="56" spans="21:23" x14ac:dyDescent="0.25">
      <c r="U56" s="105" t="s">
        <v>294</v>
      </c>
      <c r="V56" s="106">
        <v>38.5</v>
      </c>
      <c r="W56" s="108"/>
    </row>
    <row r="57" spans="21:23" x14ac:dyDescent="0.25">
      <c r="U57" t="s">
        <v>307</v>
      </c>
      <c r="V57">
        <v>13.2</v>
      </c>
    </row>
  </sheetData>
  <mergeCells count="3">
    <mergeCell ref="A2:R4"/>
    <mergeCell ref="U1:V1"/>
    <mergeCell ref="X1:AA1"/>
  </mergeCells>
  <conditionalFormatting sqref="R1">
    <cfRule type="containsText" dxfId="0" priority="1" operator="containsText" text="MANUELL">
      <formula>NOT(ISERROR(SEARCH("MANUELL",R1)))</formula>
    </cfRule>
  </conditionalFormatting>
  <pageMargins left="0.7" right="0.7" top="0.78740157499999996" bottom="0.78740157499999996" header="0.3" footer="0.3"/>
  <legacyDrawing r:id="rId1"/>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Zusammenfassung</vt:lpstr>
      <vt:lpstr>Scope 3</vt:lpstr>
      <vt:lpstr>CO2-Faktoren</vt:lpstr>
      <vt:lpstr>End-of-Life</vt:lpstr>
      <vt:lpstr>MA-Pendeln</vt:lpstr>
      <vt:lpstr>Dienstreisen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Weyand_lokal</dc:creator>
  <cp:lastModifiedBy>Ozen, Oskay</cp:lastModifiedBy>
  <dcterms:created xsi:type="dcterms:W3CDTF">2023-07-11T08:52:52Z</dcterms:created>
  <dcterms:modified xsi:type="dcterms:W3CDTF">2024-11-19T15:18:17Z</dcterms:modified>
</cp:coreProperties>
</file>